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<sst xmlns="http://schemas.openxmlformats.org/spreadsheetml/2006/main" count="525" uniqueCount="297">
  <si>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Categoria de animal</t>
  </si>
  <si>
    <t>Sistemul de întreţinere</t>
  </si>
  <si>
    <t>Numar animale</t>
  </si>
  <si>
    <r>
      <rPr>
        <b/>
        <sz val="10"/>
        <color indexed="8"/>
        <rFont val="Times New Roman"/>
        <family val="1"/>
      </rP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</si>
  <si>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</si>
  <si>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Producţia de gunoi, inclusiv aşternutul [kg/animal/zi]</t>
  </si>
  <si>
    <t>Capacitatea de stocare  [m3/animal/luna]</t>
  </si>
  <si>
    <t>Capacitatea de stocare          [m3/luna]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</si>
  <si>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</si>
  <si>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</si>
  <si>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</si>
  <si>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</si>
  <si>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</si>
  <si>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</si>
  <si>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</si>
  <si>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-</t>
  </si>
  <si>
    <t>Pardoseală grătar, întreţinere în grupuri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</si>
  <si>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</si>
  <si>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</si>
  <si>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</si>
  <si>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</si>
  <si>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</si>
  <si>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</si>
  <si>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</si>
  <si>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</si>
  <si>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</si>
  <si>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</si>
  <si>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</si>
  <si>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</si>
  <si>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</si>
  <si>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</si>
  <si>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</si>
  <si>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</si>
  <si>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</si>
  <si>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</si>
  <si>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</si>
  <si>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</si>
  <si>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</si>
  <si>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</si>
  <si>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</si>
  <si>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</si>
  <si>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</si>
  <si>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</si>
  <si>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Vaci de lapte</t>
  </si>
  <si>
    <t>4 – 5</t>
  </si>
  <si>
    <t>40 - 50</t>
  </si>
  <si>
    <t>1,4 - 1,8</t>
  </si>
  <si>
    <t>Aşternut adânc în zona de odihnă, pardoseală cu grătar în zona de defecaţie</t>
  </si>
  <si>
    <t xml:space="preserve">Gunoi de grajd solid </t>
  </si>
  <si>
    <t>30 - 35</t>
  </si>
  <si>
    <t>1,1 - 1,3</t>
  </si>
  <si>
    <t xml:space="preserve"> dejecţii semilichide</t>
  </si>
  <si>
    <t>10 - 15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</si>
  <si>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</si>
  <si>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</si>
  <si>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</si>
  <si>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</si>
  <si>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</si>
  <si>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</si>
  <si>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</si>
  <si>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</si>
  <si>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</si>
  <si>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</si>
  <si>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</si>
  <si>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</si>
  <si>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</si>
  <si>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</si>
  <si>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</si>
  <si>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</si>
  <si>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</si>
  <si>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</si>
  <si>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</si>
  <si>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</si>
  <si>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</si>
  <si>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</si>
  <si>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</si>
  <si>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</si>
  <si>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</si>
  <si>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</si>
  <si>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</si>
  <si>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</si>
  <si>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</si>
  <si>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</si>
  <si>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PORCINE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</si>
  <si>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</si>
  <si>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</si>
  <si>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</si>
  <si>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</si>
  <si>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</si>
  <si>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</si>
  <si>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</si>
  <si>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</si>
  <si>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</si>
  <si>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</si>
  <si>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12 - 17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</si>
  <si>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</si>
  <si>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</si>
  <si>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</si>
  <si>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</si>
  <si>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</si>
  <si>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</si>
  <si>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4 - 5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</si>
  <si>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</si>
  <si>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</si>
  <si>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</si>
  <si>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</si>
  <si>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</si>
  <si>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</si>
  <si>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</si>
  <si>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</si>
  <si>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2 - 3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</si>
  <si>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</si>
  <si>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</si>
  <si>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</si>
  <si>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</si>
  <si>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</si>
  <si>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</si>
  <si>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1 - 2</t>
  </si>
  <si>
    <t>0,09 – 0,1</t>
  </si>
  <si>
    <t>Grăsuni</t>
  </si>
  <si>
    <t>1 – 3</t>
  </si>
  <si>
    <t>4 - 7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</si>
  <si>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</si>
  <si>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</si>
  <si>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</si>
  <si>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</si>
  <si>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</si>
  <si>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</si>
  <si>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PASARI</t>
  </si>
  <si>
    <t>Categoria de păsări</t>
  </si>
  <si>
    <t>Sistem de întreţinere</t>
  </si>
  <si>
    <t>Aşternut  [kg/animal/zi]</t>
  </si>
  <si>
    <t>Tipul de gunoi</t>
  </si>
  <si>
    <r>
      <rPr>
        <b/>
        <sz val="10"/>
        <color indexed="8"/>
        <rFont val="Times New Roman"/>
        <family val="1"/>
      </rP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</si>
  <si>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r>
      <rPr>
        <b/>
        <sz val="10"/>
        <color indexed="8"/>
        <rFont val="Times New Roman"/>
        <family val="1"/>
      </rP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</si>
  <si>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</si>
  <si>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</si>
  <si>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</si>
  <si>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</si>
  <si>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</si>
  <si>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</si>
  <si>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</si>
  <si>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</si>
  <si>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</si>
  <si>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</si>
  <si>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</si>
  <si>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</si>
  <si>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</si>
  <si>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Dejecţii colectate (nu conţin aşternut)</t>
  </si>
  <si>
    <t>8,2</t>
  </si>
  <si>
    <t xml:space="preserve">Raţe mature </t>
  </si>
  <si>
    <t>0,500</t>
  </si>
  <si>
    <t>20,6</t>
  </si>
  <si>
    <t>22,0</t>
  </si>
  <si>
    <t>Baltă</t>
  </si>
  <si>
    <t>18,7</t>
  </si>
  <si>
    <t>Broileri de raţă (sfârşitul îngrăşării)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</si>
  <si>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</si>
  <si>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</si>
  <si>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</si>
  <si>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</si>
  <si>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</si>
  <si>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</si>
  <si>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</si>
  <si>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</si>
  <si>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</si>
  <si>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</si>
  <si>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</si>
  <si>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</si>
  <si>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</si>
  <si>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</si>
  <si>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</si>
  <si>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</si>
  <si>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</si>
  <si>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rPr>
        <i/>
        <vertAlign val="superscript"/>
        <sz val="10"/>
        <color indexed="8"/>
        <rFont val="Times New Roman"/>
        <family val="1"/>
      </rP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</si>
  <si>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CABALINE</t>
  </si>
  <si>
    <t>Sistemul de adăpost</t>
  </si>
  <si>
    <t>Excremente +  aşternut</t>
  </si>
  <si>
    <t>Tipul de gunoi rezultat</t>
  </si>
  <si>
    <t>Producţia de gunoi, inclusiv aşternut [kg/animal/zi]</t>
  </si>
  <si>
    <r>
      <rPr>
        <b/>
        <sz val="10"/>
        <color indexed="8"/>
        <rFont val="Times New Roman"/>
        <family val="1"/>
      </rP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</si>
  <si>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Mânz peste un an (400 kg)</t>
  </si>
  <si>
    <t>Aşternut</t>
  </si>
  <si>
    <t>17 + 5 kg aşternut</t>
  </si>
  <si>
    <t>Bălegar</t>
  </si>
  <si>
    <t>1,0</t>
  </si>
  <si>
    <t>Iapă, armăsar, cal castrat (600 kg)</t>
  </si>
  <si>
    <t>25 + 5 kg aşternut</t>
  </si>
  <si>
    <t>1,38</t>
  </si>
  <si>
    <t>OVINE</t>
  </si>
  <si>
    <t>Sistem de adăpost</t>
  </si>
  <si>
    <t>Aşternut    [kg/animal/zi]</t>
  </si>
  <si>
    <t>Tip de gunoi de grajd rezultat</t>
  </si>
  <si>
    <t>Producţia de gunoi, inclusiv aşternut   [kg/animal/zi]</t>
  </si>
  <si>
    <t>Capacitatea de stocare                   [m3/animal/luna]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</si>
  <si>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</si>
  <si>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</si>
  <si>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</si>
  <si>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</si>
  <si>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</si>
  <si>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</si>
  <si>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</si>
  <si>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</si>
  <si>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</si>
  <si>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</si>
  <si>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</si>
  <si>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</si>
  <si>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</si>
  <si>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</si>
  <si>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ALTELE</t>
  </si>
  <si>
    <t>Iepuri</t>
  </si>
  <si>
    <t>0,03</t>
  </si>
  <si>
    <t>0,33</t>
  </si>
  <si>
    <t>0,011</t>
  </si>
  <si>
    <t>TOTAL</t>
  </si>
  <si>
    <t xml:space="preserve">dejectii solide : </t>
  </si>
  <si>
    <t xml:space="preserve">dejectii semilichide : </t>
  </si>
  <si>
    <t>PERIOADA DE STOCARE</t>
  </si>
  <si>
    <t>luni</t>
  </si>
  <si>
    <t>Volum total dejectii</t>
  </si>
  <si>
    <t>solide</t>
  </si>
  <si>
    <t>semilichide</t>
  </si>
  <si>
    <t>PLATFORMA STOCARE</t>
  </si>
  <si>
    <t>Suprafata necesara</t>
  </si>
  <si>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</si>
  <si>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</si>
  <si>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</si>
  <si>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</si>
  <si>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</si>
  <si>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</si>
  <si>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rPr>
        <sz val="10"/>
        <color indexed="8"/>
        <rFont val="Times New Roman"/>
        <family val="1"/>
      </rP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</si>
  <si>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rPr>
        <sz val="10"/>
        <color indexed="8"/>
        <rFont val="Times New Roman"/>
        <family val="1"/>
      </rP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</si>
  <si>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rPr>
        <sz val="10"/>
        <color indexed="8"/>
        <rFont val="Times New Roman"/>
        <family val="1"/>
      </rP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</si>
  <si>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rPr>
        <sz val="10"/>
        <color indexed="8"/>
        <rFont val="Times New Roman"/>
        <family val="1"/>
      </rP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</si>
  <si>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</si>
  <si>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</si>
  <si>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</si>
  <si>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</si>
  <si>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</si>
  <si>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</si>
  <si>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</si>
  <si>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</si>
  <si>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</si>
  <si>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</si>
  <si>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</si>
  <si>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</si>
  <si>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</si>
  <si>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</si>
  <si>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</si>
  <si>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</si>
  <si>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</si>
  <si>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</si>
  <si>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</si>
  <si>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</si>
  <si>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</si>
  <si>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rPr>
        <sz val="10"/>
        <color indexed="8"/>
        <rFont val="Symbol"/>
        <family val="1"/>
      </rP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</si>
  <si>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</si>
  <si>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</si>
  <si>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</si>
  <si>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</si>
  <si>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</si>
  <si>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</si>
  <si>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</si>
  <si>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</si>
  <si>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</si>
  <si>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</si>
  <si>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</si>
  <si>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</si>
  <si>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Specificati printr-un "1" sistemul de aplicare a gunoiului</t>
  </si>
  <si>
    <t>Standard maxim de aplicare a ingrasamintelor (mineral+organic)</t>
  </si>
  <si>
    <t>Teren cu panta sub 12%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</si>
  <si>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</si>
  <si>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</si>
  <si>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</si>
  <si>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</si>
  <si>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</si>
  <si>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</si>
  <si>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</si>
  <si>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</si>
  <si>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</si>
  <si>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</si>
  <si>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Kg N/</t>
  </si>
  <si>
    <t>Kg N /</t>
  </si>
  <si>
    <t>ha / an</t>
  </si>
  <si>
    <t>Ha / an</t>
  </si>
  <si>
    <t xml:space="preserve"> ha / an</t>
  </si>
  <si>
    <t>Suprafata teren (ha) ---&gt;</t>
  </si>
  <si>
    <t>Cantitate N care poate fi aplicata</t>
  </si>
  <si>
    <t>Teren cu panta peste 12%</t>
  </si>
  <si>
    <t>Cantitatea totala de azot care poate fi aplicata in ferma:</t>
  </si>
  <si>
    <t>Kg N /an</t>
  </si>
  <si>
    <t>echivalent a</t>
  </si>
  <si>
    <t>UVM</t>
  </si>
  <si>
    <t>Cantitatea de N  aplicata prin gunoi</t>
  </si>
  <si>
    <t>Kg N / an</t>
  </si>
  <si>
    <t>Cantitatea de N care mai poate fi aplicata :</t>
  </si>
  <si>
    <t>Cantitatea de N organic care trebuie exportata din ferma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</si>
</sst>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4" fontId="18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left" vertical="center"/>
    </xf>
    <xf numFmtId="164" fontId="19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19" fillId="24" borderId="12" xfId="0" applyFont="1" applyFill="1" applyBorder="1" applyAlignment="1">
      <alignment vertical="center" wrapText="1"/>
    </xf>
    <xf numFmtId="164" fontId="19" fillId="0" borderId="13" xfId="0" applyFont="1" applyBorder="1" applyAlignment="1">
      <alignment vertical="center" wrapText="1"/>
    </xf>
    <xf numFmtId="164" fontId="20" fillId="0" borderId="14" xfId="0" applyFont="1" applyBorder="1" applyAlignment="1">
      <alignment horizontal="center" vertical="center" wrapText="1"/>
    </xf>
    <xf numFmtId="164" fontId="20" fillId="20" borderId="14" xfId="0" applyFont="1" applyFill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164" fontId="20" fillId="0" borderId="14" xfId="0" applyFont="1" applyBorder="1" applyAlignment="1">
      <alignment vertical="center" wrapText="1"/>
    </xf>
    <xf numFmtId="164" fontId="0" fillId="0" borderId="15" xfId="0" applyBorder="1" applyAlignment="1">
      <alignment vertical="center"/>
    </xf>
    <xf numFmtId="165" fontId="0" fillId="0" borderId="16" xfId="0" applyNumberFormat="1" applyFont="1" applyBorder="1" applyAlignment="1">
      <alignment horizontal="center" vertical="center"/>
    </xf>
    <xf numFmtId="164" fontId="0" fillId="0" borderId="17" xfId="0" applyBorder="1" applyAlignment="1">
      <alignment horizontal="left" vertical="center"/>
    </xf>
    <xf numFmtId="164" fontId="19" fillId="0" borderId="12" xfId="0" applyFont="1" applyBorder="1" applyAlignment="1">
      <alignment vertical="center" wrapText="1"/>
    </xf>
    <xf numFmtId="164" fontId="19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64" fontId="0" fillId="0" borderId="18" xfId="0" applyBorder="1" applyAlignment="1">
      <alignment vertical="center"/>
    </xf>
    <xf numFmtId="165" fontId="0" fillId="0" borderId="19" xfId="0" applyNumberFormat="1" applyFont="1" applyBorder="1" applyAlignment="1">
      <alignment horizontal="center" vertical="center"/>
    </xf>
    <xf numFmtId="164" fontId="0" fillId="0" borderId="11" xfId="0" applyBorder="1" applyAlignment="1">
      <alignment horizontal="left" vertical="center"/>
    </xf>
    <xf numFmtId="164" fontId="20" fillId="0" borderId="12" xfId="0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 wrapText="1"/>
    </xf>
    <xf numFmtId="164" fontId="20" fillId="0" borderId="18" xfId="0" applyFont="1" applyBorder="1" applyAlignment="1">
      <alignment vertical="center" wrapText="1"/>
    </xf>
    <xf numFmtId="164" fontId="20" fillId="0" borderId="11" xfId="0" applyFont="1" applyBorder="1" applyAlignment="1">
      <alignment horizontal="center" vertical="center" wrapText="1"/>
    </xf>
    <xf numFmtId="164" fontId="0" fillId="20" borderId="13" xfId="0" applyFill="1" applyBorder="1" applyAlignment="1">
      <alignment horizontal="center" vertical="center" wrapText="1"/>
    </xf>
    <xf numFmtId="164" fontId="20" fillId="0" borderId="20" xfId="0" applyFont="1" applyBorder="1" applyAlignment="1">
      <alignment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164" fontId="0" fillId="0" borderId="20" xfId="0" applyBorder="1" applyAlignment="1">
      <alignment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14" xfId="0" applyBorder="1" applyAlignment="1">
      <alignment horizontal="left" vertical="center"/>
    </xf>
    <xf numFmtId="164" fontId="20" fillId="0" borderId="22" xfId="0" applyFont="1" applyBorder="1" applyAlignment="1">
      <alignment horizontal="center" vertical="center" wrapText="1"/>
    </xf>
    <xf numFmtId="164" fontId="20" fillId="20" borderId="22" xfId="0" applyFont="1" applyFill="1" applyBorder="1" applyAlignment="1">
      <alignment horizontal="center" vertical="center" wrapText="1"/>
    </xf>
    <xf numFmtId="165" fontId="20" fillId="0" borderId="22" xfId="0" applyNumberFormat="1" applyFont="1" applyBorder="1" applyAlignment="1">
      <alignment horizontal="center" vertical="center" wrapText="1"/>
    </xf>
    <xf numFmtId="164" fontId="20" fillId="0" borderId="22" xfId="0" applyFont="1" applyBorder="1" applyAlignment="1">
      <alignment vertical="center" wrapText="1"/>
    </xf>
    <xf numFmtId="164" fontId="19" fillId="24" borderId="15" xfId="0" applyFont="1" applyFill="1" applyBorder="1" applyAlignment="1">
      <alignment vertical="center" wrapText="1"/>
    </xf>
    <xf numFmtId="165" fontId="0" fillId="24" borderId="16" xfId="0" applyNumberFormat="1" applyFill="1" applyBorder="1" applyAlignment="1">
      <alignment horizontal="center" vertical="center"/>
    </xf>
    <xf numFmtId="164" fontId="0" fillId="24" borderId="17" xfId="0" applyFill="1" applyBorder="1" applyAlignment="1">
      <alignment horizontal="left" vertical="center"/>
    </xf>
    <xf numFmtId="164" fontId="19" fillId="0" borderId="23" xfId="0" applyFont="1" applyBorder="1" applyAlignment="1">
      <alignment vertical="center" wrapText="1"/>
    </xf>
    <xf numFmtId="164" fontId="20" fillId="0" borderId="17" xfId="0" applyFont="1" applyBorder="1" applyAlignment="1">
      <alignment horizontal="center" vertical="center" wrapText="1"/>
    </xf>
    <xf numFmtId="164" fontId="20" fillId="20" borderId="17" xfId="0" applyFont="1" applyFill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164" fontId="20" fillId="0" borderId="17" xfId="0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vertical="center" wrapText="1"/>
    </xf>
    <xf numFmtId="164" fontId="20" fillId="0" borderId="12" xfId="0" applyFont="1" applyBorder="1" applyAlignment="1">
      <alignment vertical="center" wrapText="1"/>
    </xf>
    <xf numFmtId="164" fontId="22" fillId="0" borderId="0" xfId="0" applyFont="1" applyAlignment="1">
      <alignment horizontal="left" vertical="center"/>
    </xf>
    <xf numFmtId="164" fontId="20" fillId="20" borderId="12" xfId="0" applyFont="1" applyFill="1" applyBorder="1" applyAlignment="1">
      <alignment horizontal="center" vertical="center" wrapText="1"/>
    </xf>
    <xf numFmtId="164" fontId="25" fillId="0" borderId="0" xfId="0" applyFont="1" applyAlignment="1">
      <alignment vertical="center"/>
    </xf>
    <xf numFmtId="164" fontId="27" fillId="0" borderId="0" xfId="0" applyFont="1" applyAlignment="1">
      <alignment horizontal="left" vertic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164" fontId="20" fillId="0" borderId="13" xfId="0" applyFont="1" applyBorder="1" applyAlignment="1">
      <alignment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5" fontId="0" fillId="0" borderId="18" xfId="0" applyNumberFormat="1" applyFont="1" applyBorder="1" applyAlignment="1">
      <alignment horizontal="right" vertical="center"/>
    </xf>
    <xf numFmtId="164" fontId="0" fillId="0" borderId="19" xfId="0" applyFont="1" applyBorder="1" applyAlignment="1">
      <alignment horizontal="right" vertical="center"/>
    </xf>
    <xf numFmtId="164" fontId="18" fillId="0" borderId="19" xfId="0" applyFon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4" fontId="0" fillId="0" borderId="21" xfId="0" applyFont="1" applyBorder="1" applyAlignment="1">
      <alignment horizontal="right" vertical="center"/>
    </xf>
    <xf numFmtId="164" fontId="18" fillId="0" borderId="21" xfId="0" applyFont="1" applyBorder="1" applyAlignment="1">
      <alignment vertical="center"/>
    </xf>
    <xf numFmtId="164" fontId="0" fillId="20" borderId="0" xfId="0" applyFill="1" applyAlignment="1">
      <alignment vertical="center"/>
    </xf>
    <xf numFmtId="164" fontId="0" fillId="0" borderId="0" xfId="0" applyFill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4" fontId="0" fillId="0" borderId="0" xfId="0" applyFill="1" applyAlignment="1">
      <alignment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horizontal="center" wrapText="1"/>
    </xf>
    <xf numFmtId="164" fontId="20" fillId="0" borderId="14" xfId="0" applyFont="1" applyBorder="1" applyAlignment="1">
      <alignment horizontal="center" wrapText="1"/>
    </xf>
    <xf numFmtId="164" fontId="20" fillId="0" borderId="13" xfId="0" applyFont="1" applyBorder="1" applyAlignment="1">
      <alignment wrapText="1"/>
    </xf>
    <xf numFmtId="164" fontId="20" fillId="20" borderId="14" xfId="0" applyFont="1" applyFill="1" applyBorder="1" applyAlignment="1">
      <alignment horizontal="center" wrapText="1"/>
    </xf>
    <xf numFmtId="164" fontId="19" fillId="0" borderId="13" xfId="0" applyFont="1" applyBorder="1" applyAlignment="1">
      <alignment wrapText="1"/>
    </xf>
    <xf numFmtId="164" fontId="30" fillId="0" borderId="13" xfId="0" applyFont="1" applyBorder="1" applyAlignment="1">
      <alignment horizontal="left" wrapText="1" indent="2"/>
    </xf>
    <xf numFmtId="164" fontId="19" fillId="0" borderId="0" xfId="0" applyFont="1" applyBorder="1" applyAlignment="1">
      <alignment horizontal="center" vertical="center" wrapText="1"/>
    </xf>
    <xf numFmtId="164" fontId="0" fillId="0" borderId="12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0" xfId="0" applyFont="1" applyBorder="1" applyAlignment="1">
      <alignment/>
    </xf>
    <xf numFmtId="164" fontId="0" fillId="20" borderId="12" xfId="0" applyFill="1" applyBorder="1" applyAlignment="1">
      <alignment horizontal="center"/>
    </xf>
    <xf numFmtId="164" fontId="32" fillId="0" borderId="0" xfId="0" applyFont="1" applyAlignment="1">
      <alignment horizontal="right"/>
    </xf>
    <xf numFmtId="164" fontId="19" fillId="0" borderId="12" xfId="0" applyFont="1" applyBorder="1" applyAlignment="1">
      <alignment horizontal="center" wrapText="1"/>
    </xf>
    <xf numFmtId="164" fontId="19" fillId="0" borderId="17" xfId="0" applyFont="1" applyBorder="1" applyAlignment="1">
      <alignment horizontal="center" wrapText="1"/>
    </xf>
    <xf numFmtId="164" fontId="19" fillId="0" borderId="17" xfId="0" applyFont="1" applyBorder="1" applyAlignment="1">
      <alignment horizontal="center" vertical="top" wrapText="1"/>
    </xf>
    <xf numFmtId="164" fontId="20" fillId="0" borderId="23" xfId="0" applyFont="1" applyBorder="1" applyAlignment="1">
      <alignment horizontal="center" wrapText="1"/>
    </xf>
    <xf numFmtId="164" fontId="20" fillId="0" borderId="22" xfId="0" applyFont="1" applyBorder="1" applyAlignment="1">
      <alignment horizontal="center" wrapText="1"/>
    </xf>
    <xf numFmtId="164" fontId="20" fillId="0" borderId="13" xfId="0" applyFont="1" applyBorder="1" applyAlignment="1">
      <alignment horizontal="center" wrapText="1"/>
    </xf>
    <xf numFmtId="164" fontId="20" fillId="0" borderId="14" xfId="0" applyFont="1" applyBorder="1" applyAlignment="1">
      <alignment horizontal="center" vertical="top" wrapText="1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workbookViewId="0" topLeftCell="A46">
      <selection activeCell="A1" sqref="A1"/>
    </sheetView>
  </sheetViews>
  <sheetFormatPr defaultColWidth="8.00390625" defaultRowHeight="12.75"/>
  <cols>
    <col min="1" max="1" width="31.140625" style="1" customWidth="1"/>
    <col min="2" max="2" width="19.421875" style="2" customWidth="1"/>
    <col min="3" max="3" width="15.421875" style="2" customWidth="1"/>
    <col min="4" max="4" width="17.8515625" style="3" customWidth="1"/>
    <col min="5" max="5" width="17.421875" style="1" customWidth="1"/>
    <col min="6" max="6" width="21.28125" style="3" customWidth="1"/>
    <col min="7" max="7" width="19.140625" style="1" customWidth="1"/>
    <col min="8" max="8" width="0.13671875" style="4" customWidth="1"/>
    <col min="9" max="9" width="8.28125" style="4" hidden="1" customWidth="1"/>
    <col min="10" max="10" width="10.00390625" style="1" customWidth="1"/>
    <col min="11" max="11" width="3.00390625" style="5" customWidth="1"/>
    <col min="12" max="12" width="9.140625" style="6" customWidth="1"/>
    <col min="13" max="16384" width="9.140625" style="1" customWidth="1"/>
  </cols>
  <sheetData>
    <row r="1" spans="1:12" ht="51.75" customHeight="1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1" t="s">
        <v>6</v>
      </c>
      <c r="J1" s="8" t="s">
        <v>7</v>
      </c>
      <c r="K1" s="8"/>
      <c r="L1" s="8"/>
    </row>
    <row r="2" spans="1:12" ht="13.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7" customHeight="1">
      <c r="A3" s="13" t="s">
        <v>9</v>
      </c>
      <c r="B3" s="14" t="s">
        <v>10</v>
      </c>
      <c r="C3" s="15"/>
      <c r="D3" s="16" t="s">
        <v>11</v>
      </c>
      <c r="E3" s="17" t="s">
        <v>12</v>
      </c>
      <c r="F3" s="16" t="s">
        <v>13</v>
      </c>
      <c r="G3" s="14" t="s">
        <v>14</v>
      </c>
      <c r="H3" s="4">
        <v>0.25</v>
      </c>
      <c r="I3" s="4">
        <v>0.4</v>
      </c>
      <c r="J3" s="18">
        <f aca="true" t="shared" si="0" ref="J3:J17">H3*C3</f>
        <v>0</v>
      </c>
      <c r="K3" s="19" t="s">
        <v>15</v>
      </c>
      <c r="L3" s="20">
        <f aca="true" t="shared" si="1" ref="L3:L17">I3*C3</f>
        <v>0</v>
      </c>
    </row>
    <row r="4" spans="1:12" ht="27">
      <c r="A4" s="13"/>
      <c r="B4" s="14" t="s">
        <v>16</v>
      </c>
      <c r="C4" s="15"/>
      <c r="D4" s="16" t="s">
        <v>15</v>
      </c>
      <c r="E4" s="17" t="s">
        <v>17</v>
      </c>
      <c r="F4" s="16" t="s">
        <v>18</v>
      </c>
      <c r="G4" s="14" t="s">
        <v>19</v>
      </c>
      <c r="H4" s="4">
        <v>0.25</v>
      </c>
      <c r="I4" s="4">
        <v>0.45</v>
      </c>
      <c r="J4" s="18">
        <f t="shared" si="0"/>
        <v>0</v>
      </c>
      <c r="K4" s="19" t="s">
        <v>15</v>
      </c>
      <c r="L4" s="20">
        <f t="shared" si="1"/>
        <v>0</v>
      </c>
    </row>
    <row r="5" spans="1:12" ht="13.5" customHeight="1">
      <c r="A5" s="21" t="s">
        <v>20</v>
      </c>
      <c r="B5" s="14" t="s">
        <v>21</v>
      </c>
      <c r="C5" s="15"/>
      <c r="D5" s="16" t="s">
        <v>22</v>
      </c>
      <c r="E5" s="17" t="s">
        <v>12</v>
      </c>
      <c r="F5" s="16" t="s">
        <v>23</v>
      </c>
      <c r="G5" s="14" t="s">
        <v>24</v>
      </c>
      <c r="H5" s="4">
        <v>0.75</v>
      </c>
      <c r="I5" s="4">
        <v>0.95</v>
      </c>
      <c r="J5" s="18">
        <f t="shared" si="0"/>
        <v>0</v>
      </c>
      <c r="K5" s="19" t="s">
        <v>15</v>
      </c>
      <c r="L5" s="20">
        <f t="shared" si="1"/>
        <v>0</v>
      </c>
    </row>
    <row r="6" spans="1:12" ht="53.25">
      <c r="A6" s="21"/>
      <c r="B6" s="14" t="s">
        <v>25</v>
      </c>
      <c r="C6" s="15"/>
      <c r="D6" s="16" t="s">
        <v>26</v>
      </c>
      <c r="E6" s="17" t="s">
        <v>12</v>
      </c>
      <c r="F6" s="16" t="s">
        <v>27</v>
      </c>
      <c r="G6" s="14" t="s">
        <v>28</v>
      </c>
      <c r="H6" s="4">
        <v>0.7</v>
      </c>
      <c r="I6" s="4">
        <v>0.9</v>
      </c>
      <c r="J6" s="18">
        <f t="shared" si="0"/>
        <v>0</v>
      </c>
      <c r="K6" s="19" t="s">
        <v>15</v>
      </c>
      <c r="L6" s="20">
        <f t="shared" si="1"/>
        <v>0</v>
      </c>
    </row>
    <row r="7" spans="1:12" ht="53.25">
      <c r="A7" s="21"/>
      <c r="B7" s="14" t="s">
        <v>29</v>
      </c>
      <c r="C7" s="15"/>
      <c r="D7" s="16" t="s">
        <v>30</v>
      </c>
      <c r="E7" s="17" t="s">
        <v>12</v>
      </c>
      <c r="F7" s="16" t="s">
        <v>31</v>
      </c>
      <c r="G7" s="14" t="s">
        <v>32</v>
      </c>
      <c r="H7" s="4">
        <v>0.65</v>
      </c>
      <c r="I7" s="4">
        <v>0.95</v>
      </c>
      <c r="J7" s="18">
        <f t="shared" si="0"/>
        <v>0</v>
      </c>
      <c r="K7" s="19" t="s">
        <v>15</v>
      </c>
      <c r="L7" s="20">
        <f t="shared" si="1"/>
        <v>0</v>
      </c>
    </row>
    <row r="8" spans="1:12" ht="13.5" customHeight="1">
      <c r="A8" s="21" t="s">
        <v>33</v>
      </c>
      <c r="B8" s="14" t="s">
        <v>21</v>
      </c>
      <c r="C8" s="15"/>
      <c r="D8" s="16">
        <v>3</v>
      </c>
      <c r="E8" s="17" t="s">
        <v>12</v>
      </c>
      <c r="F8" s="16" t="s">
        <v>34</v>
      </c>
      <c r="G8" s="14" t="s">
        <v>35</v>
      </c>
      <c r="H8" s="4">
        <v>1.1</v>
      </c>
      <c r="I8" s="4">
        <v>1.4</v>
      </c>
      <c r="J8" s="18">
        <f t="shared" si="0"/>
        <v>0</v>
      </c>
      <c r="K8" s="19" t="s">
        <v>15</v>
      </c>
      <c r="L8" s="20">
        <f t="shared" si="1"/>
        <v>0</v>
      </c>
    </row>
    <row r="9" spans="1:12" ht="53.25">
      <c r="A9" s="21"/>
      <c r="B9" s="14" t="s">
        <v>25</v>
      </c>
      <c r="C9" s="15"/>
      <c r="D9" s="16" t="s">
        <v>30</v>
      </c>
      <c r="E9" s="17" t="s">
        <v>12</v>
      </c>
      <c r="F9" s="16" t="s">
        <v>36</v>
      </c>
      <c r="G9" s="14" t="s">
        <v>37</v>
      </c>
      <c r="H9" s="4">
        <v>1</v>
      </c>
      <c r="I9" s="4">
        <v>1.3</v>
      </c>
      <c r="J9" s="18">
        <f t="shared" si="0"/>
        <v>0</v>
      </c>
      <c r="K9" s="19" t="s">
        <v>15</v>
      </c>
      <c r="L9" s="20">
        <f t="shared" si="1"/>
        <v>0</v>
      </c>
    </row>
    <row r="10" spans="1:12" ht="13.5">
      <c r="A10" s="21"/>
      <c r="B10" s="14" t="s">
        <v>38</v>
      </c>
      <c r="C10" s="15"/>
      <c r="D10" s="16" t="s">
        <v>15</v>
      </c>
      <c r="E10" s="17" t="s">
        <v>17</v>
      </c>
      <c r="F10" s="16" t="s">
        <v>39</v>
      </c>
      <c r="G10" s="14" t="s">
        <v>40</v>
      </c>
      <c r="H10" s="4">
        <v>0.9</v>
      </c>
      <c r="I10" s="4">
        <v>1.3</v>
      </c>
      <c r="J10" s="18">
        <f t="shared" si="0"/>
        <v>0</v>
      </c>
      <c r="K10" s="19" t="s">
        <v>15</v>
      </c>
      <c r="L10" s="20">
        <f t="shared" si="1"/>
        <v>0</v>
      </c>
    </row>
    <row r="11" spans="1:12" ht="39.75">
      <c r="A11" s="21"/>
      <c r="B11" s="14" t="s">
        <v>41</v>
      </c>
      <c r="C11" s="15"/>
      <c r="D11" s="16" t="s">
        <v>30</v>
      </c>
      <c r="E11" s="17" t="s">
        <v>12</v>
      </c>
      <c r="F11" s="16" t="s">
        <v>34</v>
      </c>
      <c r="G11" s="14" t="s">
        <v>42</v>
      </c>
      <c r="H11" s="4">
        <v>1.05</v>
      </c>
      <c r="I11" s="4">
        <v>1.4</v>
      </c>
      <c r="J11" s="18">
        <f t="shared" si="0"/>
        <v>0</v>
      </c>
      <c r="K11" s="19" t="s">
        <v>15</v>
      </c>
      <c r="L11" s="20">
        <f t="shared" si="1"/>
        <v>0</v>
      </c>
    </row>
    <row r="12" spans="1:12" ht="75.75" customHeight="1">
      <c r="A12" s="22" t="s">
        <v>43</v>
      </c>
      <c r="B12" s="23" t="s">
        <v>25</v>
      </c>
      <c r="C12" s="24"/>
      <c r="D12" s="25" t="s">
        <v>44</v>
      </c>
      <c r="E12" s="26" t="s">
        <v>12</v>
      </c>
      <c r="F12" s="25" t="s">
        <v>45</v>
      </c>
      <c r="G12" s="23" t="s">
        <v>46</v>
      </c>
      <c r="H12" s="4">
        <v>1.4</v>
      </c>
      <c r="I12" s="4">
        <v>1.8</v>
      </c>
      <c r="J12" s="27">
        <f t="shared" si="0"/>
        <v>0</v>
      </c>
      <c r="K12" s="28" t="s">
        <v>15</v>
      </c>
      <c r="L12" s="29">
        <f t="shared" si="1"/>
        <v>0</v>
      </c>
    </row>
    <row r="13" spans="1:12" ht="75.75" customHeight="1">
      <c r="A13" s="22"/>
      <c r="B13" s="30" t="s">
        <v>47</v>
      </c>
      <c r="C13" s="24"/>
      <c r="D13" s="31" t="s">
        <v>22</v>
      </c>
      <c r="E13" s="32" t="s">
        <v>48</v>
      </c>
      <c r="F13" s="25" t="s">
        <v>49</v>
      </c>
      <c r="G13" s="33" t="s">
        <v>50</v>
      </c>
      <c r="H13" s="4">
        <v>1.1</v>
      </c>
      <c r="I13" s="4">
        <v>1.3</v>
      </c>
      <c r="J13" s="27">
        <f t="shared" si="0"/>
        <v>0</v>
      </c>
      <c r="K13" s="28" t="s">
        <v>15</v>
      </c>
      <c r="L13" s="29">
        <f t="shared" si="1"/>
        <v>0</v>
      </c>
    </row>
    <row r="14" spans="1:12" ht="13.5">
      <c r="A14" s="22"/>
      <c r="B14" s="30"/>
      <c r="C14" s="34"/>
      <c r="D14" s="31"/>
      <c r="E14" s="35" t="s">
        <v>51</v>
      </c>
      <c r="F14" s="36" t="s">
        <v>52</v>
      </c>
      <c r="G14" s="14" t="s">
        <v>53</v>
      </c>
      <c r="H14" s="4">
        <v>0.3</v>
      </c>
      <c r="I14" s="4">
        <v>0.5</v>
      </c>
      <c r="J14" s="37">
        <f t="shared" si="0"/>
        <v>0</v>
      </c>
      <c r="K14" s="38" t="s">
        <v>15</v>
      </c>
      <c r="L14" s="39">
        <f t="shared" si="1"/>
        <v>0</v>
      </c>
    </row>
    <row r="15" spans="1:12" ht="39.75">
      <c r="A15" s="22"/>
      <c r="B15" s="14" t="s">
        <v>54</v>
      </c>
      <c r="C15" s="15"/>
      <c r="D15" s="16" t="s">
        <v>55</v>
      </c>
      <c r="E15" s="17" t="s">
        <v>12</v>
      </c>
      <c r="F15" s="16" t="s">
        <v>56</v>
      </c>
      <c r="G15" s="14" t="s">
        <v>57</v>
      </c>
      <c r="H15" s="4">
        <v>1.6</v>
      </c>
      <c r="I15" s="4">
        <v>1.9</v>
      </c>
      <c r="J15" s="37">
        <f t="shared" si="0"/>
        <v>0</v>
      </c>
      <c r="K15" s="38" t="s">
        <v>15</v>
      </c>
      <c r="L15" s="39">
        <f t="shared" si="1"/>
        <v>0</v>
      </c>
    </row>
    <row r="16" spans="1:12" ht="53.25">
      <c r="A16" s="22"/>
      <c r="B16" s="14" t="s">
        <v>58</v>
      </c>
      <c r="C16" s="15"/>
      <c r="D16" s="16" t="s">
        <v>30</v>
      </c>
      <c r="E16" s="17" t="s">
        <v>12</v>
      </c>
      <c r="F16" s="16" t="s">
        <v>56</v>
      </c>
      <c r="G16" s="14" t="s">
        <v>57</v>
      </c>
      <c r="H16" s="4">
        <v>1.6</v>
      </c>
      <c r="I16" s="4">
        <v>1.9</v>
      </c>
      <c r="J16" s="18">
        <f t="shared" si="0"/>
        <v>0</v>
      </c>
      <c r="K16" s="19" t="s">
        <v>15</v>
      </c>
      <c r="L16" s="20">
        <f t="shared" si="1"/>
        <v>0</v>
      </c>
    </row>
    <row r="17" spans="1:12" ht="53.25">
      <c r="A17" s="22"/>
      <c r="B17" s="40" t="s">
        <v>59</v>
      </c>
      <c r="C17" s="41"/>
      <c r="D17" s="42" t="s">
        <v>15</v>
      </c>
      <c r="E17" s="43" t="s">
        <v>17</v>
      </c>
      <c r="F17" s="42" t="s">
        <v>60</v>
      </c>
      <c r="G17" s="40" t="s">
        <v>61</v>
      </c>
      <c r="H17" s="4">
        <v>1.2</v>
      </c>
      <c r="I17" s="4">
        <v>1.6</v>
      </c>
      <c r="J17" s="27">
        <f t="shared" si="0"/>
        <v>0</v>
      </c>
      <c r="K17" s="28" t="s">
        <v>15</v>
      </c>
      <c r="L17" s="29">
        <f t="shared" si="1"/>
        <v>0</v>
      </c>
    </row>
    <row r="18" spans="1:12" ht="13.5" customHeight="1">
      <c r="A18" s="44" t="s">
        <v>62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46"/>
    </row>
    <row r="19" spans="1:12" ht="13.5" customHeight="1">
      <c r="A19" s="13" t="s">
        <v>9</v>
      </c>
      <c r="B19" s="14" t="s">
        <v>63</v>
      </c>
      <c r="C19" s="15"/>
      <c r="D19" s="16" t="s">
        <v>11</v>
      </c>
      <c r="E19" s="17" t="s">
        <v>64</v>
      </c>
      <c r="F19" s="16" t="s">
        <v>13</v>
      </c>
      <c r="G19" s="14" t="s">
        <v>14</v>
      </c>
      <c r="H19" s="4">
        <v>0.25</v>
      </c>
      <c r="I19" s="4">
        <v>0.4</v>
      </c>
      <c r="J19" s="37">
        <f aca="true" t="shared" si="2" ref="J19:J26">H19*C19</f>
        <v>0</v>
      </c>
      <c r="K19" s="38" t="s">
        <v>15</v>
      </c>
      <c r="L19" s="39">
        <f aca="true" t="shared" si="3" ref="L19:L26">I19*C19</f>
        <v>0</v>
      </c>
    </row>
    <row r="20" spans="1:12" ht="27">
      <c r="A20" s="13"/>
      <c r="B20" s="14" t="s">
        <v>65</v>
      </c>
      <c r="C20" s="15"/>
      <c r="D20" s="16" t="s">
        <v>15</v>
      </c>
      <c r="E20" s="17" t="s">
        <v>17</v>
      </c>
      <c r="F20" s="16" t="s">
        <v>18</v>
      </c>
      <c r="G20" s="14" t="s">
        <v>19</v>
      </c>
      <c r="H20" s="4">
        <v>0.25</v>
      </c>
      <c r="I20" s="4">
        <v>0.45</v>
      </c>
      <c r="J20" s="18">
        <f t="shared" si="2"/>
        <v>0</v>
      </c>
      <c r="K20" s="19" t="s">
        <v>15</v>
      </c>
      <c r="L20" s="20">
        <f t="shared" si="3"/>
        <v>0</v>
      </c>
    </row>
    <row r="21" spans="1:12" ht="13.5" customHeight="1">
      <c r="A21" s="21" t="s">
        <v>33</v>
      </c>
      <c r="B21" s="14" t="s">
        <v>66</v>
      </c>
      <c r="C21" s="15"/>
      <c r="D21" s="16" t="s">
        <v>11</v>
      </c>
      <c r="E21" s="17" t="s">
        <v>64</v>
      </c>
      <c r="F21" s="16" t="s">
        <v>67</v>
      </c>
      <c r="G21" s="14" t="s">
        <v>37</v>
      </c>
      <c r="H21" s="4">
        <v>1</v>
      </c>
      <c r="I21" s="4">
        <v>1.3</v>
      </c>
      <c r="J21" s="18">
        <f t="shared" si="2"/>
        <v>0</v>
      </c>
      <c r="K21" s="19" t="s">
        <v>15</v>
      </c>
      <c r="L21" s="20">
        <f t="shared" si="3"/>
        <v>0</v>
      </c>
    </row>
    <row r="22" spans="1:12" ht="27">
      <c r="A22" s="21"/>
      <c r="B22" s="14" t="s">
        <v>68</v>
      </c>
      <c r="C22" s="15"/>
      <c r="D22" s="16" t="s">
        <v>15</v>
      </c>
      <c r="E22" s="17" t="s">
        <v>17</v>
      </c>
      <c r="F22" s="16" t="s">
        <v>39</v>
      </c>
      <c r="G22" s="14" t="s">
        <v>69</v>
      </c>
      <c r="H22" s="4">
        <v>0.9</v>
      </c>
      <c r="I22" s="4">
        <v>1.2</v>
      </c>
      <c r="J22" s="18">
        <f t="shared" si="2"/>
        <v>0</v>
      </c>
      <c r="K22" s="19" t="s">
        <v>15</v>
      </c>
      <c r="L22" s="20">
        <f t="shared" si="3"/>
        <v>0</v>
      </c>
    </row>
    <row r="23" spans="1:12" ht="13.5">
      <c r="A23" s="22" t="s">
        <v>20</v>
      </c>
      <c r="B23" s="14" t="s">
        <v>70</v>
      </c>
      <c r="C23" s="15"/>
      <c r="D23" s="16" t="s">
        <v>71</v>
      </c>
      <c r="E23" s="17" t="s">
        <v>64</v>
      </c>
      <c r="F23" s="16" t="s">
        <v>72</v>
      </c>
      <c r="G23" s="14" t="s">
        <v>73</v>
      </c>
      <c r="H23" s="4">
        <v>0.8</v>
      </c>
      <c r="I23" s="4">
        <v>1</v>
      </c>
      <c r="J23" s="18">
        <f t="shared" si="2"/>
        <v>0</v>
      </c>
      <c r="K23" s="19" t="s">
        <v>15</v>
      </c>
      <c r="L23" s="20">
        <f t="shared" si="3"/>
        <v>0</v>
      </c>
    </row>
    <row r="24" spans="1:12" ht="27">
      <c r="A24" s="47"/>
      <c r="B24" s="14" t="s">
        <v>74</v>
      </c>
      <c r="C24" s="15"/>
      <c r="D24" s="16" t="s">
        <v>15</v>
      </c>
      <c r="E24" s="17" t="s">
        <v>17</v>
      </c>
      <c r="F24" s="16" t="s">
        <v>75</v>
      </c>
      <c r="G24" s="14" t="s">
        <v>76</v>
      </c>
      <c r="H24" s="4">
        <v>0.6</v>
      </c>
      <c r="I24" s="4">
        <v>0.8</v>
      </c>
      <c r="J24" s="18">
        <f t="shared" si="2"/>
        <v>0</v>
      </c>
      <c r="K24" s="19" t="s">
        <v>15</v>
      </c>
      <c r="L24" s="20">
        <f t="shared" si="3"/>
        <v>0</v>
      </c>
    </row>
    <row r="25" spans="1:12" ht="13.5" customHeight="1">
      <c r="A25" s="21" t="s">
        <v>43</v>
      </c>
      <c r="B25" s="48" t="s">
        <v>66</v>
      </c>
      <c r="C25" s="49"/>
      <c r="D25" s="50" t="s">
        <v>77</v>
      </c>
      <c r="E25" s="51" t="s">
        <v>64</v>
      </c>
      <c r="F25" s="50" t="s">
        <v>78</v>
      </c>
      <c r="G25" s="48" t="s">
        <v>79</v>
      </c>
      <c r="H25" s="4">
        <v>1.5</v>
      </c>
      <c r="I25" s="4">
        <v>1.9</v>
      </c>
      <c r="J25" s="18">
        <f t="shared" si="2"/>
        <v>0</v>
      </c>
      <c r="K25" s="19" t="s">
        <v>15</v>
      </c>
      <c r="L25" s="20">
        <f t="shared" si="3"/>
        <v>0</v>
      </c>
    </row>
    <row r="26" spans="1:12" ht="53.25">
      <c r="A26" s="21"/>
      <c r="B26" s="14" t="s">
        <v>80</v>
      </c>
      <c r="C26" s="15"/>
      <c r="D26" s="16" t="s">
        <v>15</v>
      </c>
      <c r="E26" s="17" t="s">
        <v>17</v>
      </c>
      <c r="F26" s="16" t="s">
        <v>81</v>
      </c>
      <c r="G26" s="14" t="s">
        <v>82</v>
      </c>
      <c r="H26" s="4">
        <v>1.2</v>
      </c>
      <c r="I26" s="4">
        <v>1.5</v>
      </c>
      <c r="J26" s="18">
        <f t="shared" si="2"/>
        <v>0</v>
      </c>
      <c r="K26" s="19" t="s">
        <v>15</v>
      </c>
      <c r="L26" s="20">
        <f t="shared" si="3"/>
        <v>0</v>
      </c>
    </row>
    <row r="27" spans="1:7" ht="13.5">
      <c r="A27" s="52" t="s">
        <v>83</v>
      </c>
      <c r="B27" s="53"/>
      <c r="C27" s="53"/>
      <c r="D27" s="54"/>
      <c r="E27" s="55"/>
      <c r="F27" s="54"/>
      <c r="G27" s="53"/>
    </row>
    <row r="28" spans="1:12" ht="24.75" customHeight="1">
      <c r="A28" s="21" t="s">
        <v>84</v>
      </c>
      <c r="B28" s="48" t="s">
        <v>85</v>
      </c>
      <c r="C28" s="49"/>
      <c r="D28" s="31" t="s">
        <v>86</v>
      </c>
      <c r="E28" s="56" t="s">
        <v>12</v>
      </c>
      <c r="F28" s="31" t="s">
        <v>87</v>
      </c>
      <c r="G28" s="30" t="s">
        <v>88</v>
      </c>
      <c r="H28" s="4">
        <v>0.5</v>
      </c>
      <c r="I28" s="4">
        <v>0.7</v>
      </c>
      <c r="J28" s="18">
        <f aca="true" t="shared" si="4" ref="J28:J39">H28*C28</f>
        <v>0</v>
      </c>
      <c r="K28" s="19" t="s">
        <v>15</v>
      </c>
      <c r="L28" s="20">
        <f aca="true" t="shared" si="5" ref="L28:L39">I28*C28</f>
        <v>0</v>
      </c>
    </row>
    <row r="29" spans="1:12" ht="13.5" customHeight="1">
      <c r="A29" s="13" t="s">
        <v>89</v>
      </c>
      <c r="B29" s="14" t="s">
        <v>21</v>
      </c>
      <c r="C29" s="15"/>
      <c r="D29" s="16" t="s">
        <v>30</v>
      </c>
      <c r="E29" s="17" t="s">
        <v>12</v>
      </c>
      <c r="F29" s="16" t="s">
        <v>90</v>
      </c>
      <c r="G29" s="14" t="s">
        <v>91</v>
      </c>
      <c r="H29" s="4">
        <v>0.45</v>
      </c>
      <c r="I29" s="4">
        <v>0.6</v>
      </c>
      <c r="J29" s="18">
        <f t="shared" si="4"/>
        <v>0</v>
      </c>
      <c r="K29" s="19" t="s">
        <v>15</v>
      </c>
      <c r="L29" s="20">
        <f t="shared" si="5"/>
        <v>0</v>
      </c>
    </row>
    <row r="30" spans="1:12" ht="53.25">
      <c r="A30" s="13"/>
      <c r="B30" s="14" t="s">
        <v>92</v>
      </c>
      <c r="C30" s="15"/>
      <c r="D30" s="16" t="s">
        <v>93</v>
      </c>
      <c r="E30" s="17" t="s">
        <v>12</v>
      </c>
      <c r="F30" s="16" t="s">
        <v>94</v>
      </c>
      <c r="G30" s="14" t="s">
        <v>95</v>
      </c>
      <c r="H30" s="4">
        <v>0.45</v>
      </c>
      <c r="I30" s="4">
        <v>0.65</v>
      </c>
      <c r="J30" s="18">
        <f t="shared" si="4"/>
        <v>0</v>
      </c>
      <c r="K30" s="19" t="s">
        <v>15</v>
      </c>
      <c r="L30" s="20">
        <f t="shared" si="5"/>
        <v>0</v>
      </c>
    </row>
    <row r="31" spans="1:12" ht="53.25">
      <c r="A31" s="13"/>
      <c r="B31" s="14" t="s">
        <v>96</v>
      </c>
      <c r="C31" s="15"/>
      <c r="D31" s="16" t="s">
        <v>97</v>
      </c>
      <c r="E31" s="17" t="s">
        <v>17</v>
      </c>
      <c r="F31" s="16" t="s">
        <v>52</v>
      </c>
      <c r="G31" s="14" t="s">
        <v>98</v>
      </c>
      <c r="H31" s="4">
        <v>0.3</v>
      </c>
      <c r="I31" s="4">
        <v>0.45</v>
      </c>
      <c r="J31" s="27">
        <f t="shared" si="4"/>
        <v>0</v>
      </c>
      <c r="K31" s="28" t="s">
        <v>15</v>
      </c>
      <c r="L31" s="29">
        <f t="shared" si="5"/>
        <v>0</v>
      </c>
    </row>
    <row r="32" spans="1:12" ht="50.25" customHeight="1">
      <c r="A32" s="21" t="s">
        <v>99</v>
      </c>
      <c r="B32" s="23" t="s">
        <v>100</v>
      </c>
      <c r="C32" s="24"/>
      <c r="D32" s="25" t="s">
        <v>101</v>
      </c>
      <c r="E32" s="26" t="s">
        <v>12</v>
      </c>
      <c r="F32" s="25" t="s">
        <v>102</v>
      </c>
      <c r="G32" s="23" t="s">
        <v>103</v>
      </c>
      <c r="H32" s="4">
        <v>0.6</v>
      </c>
      <c r="I32" s="4">
        <v>0.7</v>
      </c>
      <c r="J32" s="27">
        <f t="shared" si="4"/>
        <v>0</v>
      </c>
      <c r="K32" s="28" t="s">
        <v>15</v>
      </c>
      <c r="L32" s="29">
        <f t="shared" si="5"/>
        <v>0</v>
      </c>
    </row>
    <row r="33" spans="1:12" ht="39.75">
      <c r="A33" s="21"/>
      <c r="B33" s="14" t="s">
        <v>104</v>
      </c>
      <c r="C33" s="15"/>
      <c r="D33" s="16" t="s">
        <v>105</v>
      </c>
      <c r="E33" s="17" t="s">
        <v>17</v>
      </c>
      <c r="F33" s="16" t="s">
        <v>106</v>
      </c>
      <c r="G33" s="14" t="s">
        <v>91</v>
      </c>
      <c r="H33" s="4">
        <v>0.45</v>
      </c>
      <c r="I33" s="4">
        <v>0.6</v>
      </c>
      <c r="J33" s="37">
        <f t="shared" si="4"/>
        <v>0</v>
      </c>
      <c r="K33" s="38" t="s">
        <v>15</v>
      </c>
      <c r="L33" s="39">
        <f t="shared" si="5"/>
        <v>0</v>
      </c>
    </row>
    <row r="34" spans="1:12" ht="13.5" customHeight="1">
      <c r="A34" s="21" t="s">
        <v>107</v>
      </c>
      <c r="B34" s="14" t="s">
        <v>21</v>
      </c>
      <c r="C34" s="15"/>
      <c r="D34" s="16" t="s">
        <v>108</v>
      </c>
      <c r="E34" s="17" t="s">
        <v>109</v>
      </c>
      <c r="F34" s="16" t="s">
        <v>110</v>
      </c>
      <c r="G34" s="14" t="s">
        <v>111</v>
      </c>
      <c r="H34" s="4">
        <v>0.15</v>
      </c>
      <c r="I34" s="4">
        <v>0.2</v>
      </c>
      <c r="J34" s="37">
        <f t="shared" si="4"/>
        <v>0</v>
      </c>
      <c r="K34" s="38" t="s">
        <v>15</v>
      </c>
      <c r="L34" s="39">
        <f t="shared" si="5"/>
        <v>0</v>
      </c>
    </row>
    <row r="35" spans="1:12" ht="53.25">
      <c r="A35" s="21"/>
      <c r="B35" s="14" t="s">
        <v>112</v>
      </c>
      <c r="C35" s="15"/>
      <c r="D35" s="16" t="s">
        <v>113</v>
      </c>
      <c r="E35" s="17" t="s">
        <v>109</v>
      </c>
      <c r="F35" s="16" t="s">
        <v>114</v>
      </c>
      <c r="G35" s="14" t="s">
        <v>115</v>
      </c>
      <c r="H35" s="4">
        <v>0.1</v>
      </c>
      <c r="I35" s="4">
        <v>0.15</v>
      </c>
      <c r="J35" s="18">
        <f t="shared" si="4"/>
        <v>0</v>
      </c>
      <c r="K35" s="19" t="s">
        <v>15</v>
      </c>
      <c r="L35" s="20">
        <f t="shared" si="5"/>
        <v>0</v>
      </c>
    </row>
    <row r="36" spans="1:12" ht="27">
      <c r="A36" s="21"/>
      <c r="B36" s="14" t="s">
        <v>116</v>
      </c>
      <c r="C36" s="15"/>
      <c r="D36" s="16" t="s">
        <v>105</v>
      </c>
      <c r="E36" s="17" t="s">
        <v>17</v>
      </c>
      <c r="F36" s="16" t="s">
        <v>117</v>
      </c>
      <c r="G36" s="14" t="s">
        <v>118</v>
      </c>
      <c r="H36" s="4">
        <v>0.09</v>
      </c>
      <c r="I36" s="4">
        <v>0.1</v>
      </c>
      <c r="J36" s="18">
        <f t="shared" si="4"/>
        <v>0</v>
      </c>
      <c r="K36" s="19" t="s">
        <v>15</v>
      </c>
      <c r="L36" s="20">
        <f t="shared" si="5"/>
        <v>0</v>
      </c>
    </row>
    <row r="37" spans="1:12" ht="13.5" customHeight="1">
      <c r="A37" s="21" t="s">
        <v>119</v>
      </c>
      <c r="B37" s="14" t="s">
        <v>21</v>
      </c>
      <c r="C37" s="15"/>
      <c r="D37" s="16" t="s">
        <v>120</v>
      </c>
      <c r="E37" s="17" t="s">
        <v>109</v>
      </c>
      <c r="F37" s="16" t="s">
        <v>121</v>
      </c>
      <c r="G37" s="14" t="s">
        <v>122</v>
      </c>
      <c r="H37" s="4">
        <v>0.25</v>
      </c>
      <c r="I37" s="4">
        <v>0.35</v>
      </c>
      <c r="J37" s="18">
        <f t="shared" si="4"/>
        <v>0</v>
      </c>
      <c r="K37" s="19" t="s">
        <v>15</v>
      </c>
      <c r="L37" s="20">
        <f t="shared" si="5"/>
        <v>0</v>
      </c>
    </row>
    <row r="38" spans="1:12" ht="53.25">
      <c r="A38" s="21"/>
      <c r="B38" s="14" t="s">
        <v>123</v>
      </c>
      <c r="C38" s="15"/>
      <c r="D38" s="16" t="s">
        <v>124</v>
      </c>
      <c r="E38" s="17" t="s">
        <v>109</v>
      </c>
      <c r="F38" s="16" t="s">
        <v>22</v>
      </c>
      <c r="G38" s="14" t="s">
        <v>125</v>
      </c>
      <c r="H38" s="4">
        <v>0.2</v>
      </c>
      <c r="I38" s="4">
        <v>0.4</v>
      </c>
      <c r="J38" s="18">
        <f t="shared" si="4"/>
        <v>0</v>
      </c>
      <c r="K38" s="19" t="s">
        <v>15</v>
      </c>
      <c r="L38" s="20">
        <f t="shared" si="5"/>
        <v>0</v>
      </c>
    </row>
    <row r="39" spans="1:12" ht="27">
      <c r="A39" s="21"/>
      <c r="B39" s="14" t="s">
        <v>126</v>
      </c>
      <c r="C39" s="15">
        <v>10</v>
      </c>
      <c r="D39" s="16" t="s">
        <v>105</v>
      </c>
      <c r="E39" s="17" t="s">
        <v>17</v>
      </c>
      <c r="F39" s="16">
        <v>41767</v>
      </c>
      <c r="G39" s="14" t="s">
        <v>127</v>
      </c>
      <c r="H39" s="4">
        <v>0.15</v>
      </c>
      <c r="I39" s="4">
        <v>0.25</v>
      </c>
      <c r="J39" s="18">
        <f t="shared" si="4"/>
        <v>1.5</v>
      </c>
      <c r="K39" s="19" t="s">
        <v>15</v>
      </c>
      <c r="L39" s="20">
        <f t="shared" si="5"/>
        <v>2.5</v>
      </c>
    </row>
    <row r="40" ht="13.5">
      <c r="A40" s="57" t="s">
        <v>128</v>
      </c>
    </row>
    <row r="41" spans="1:7" ht="55.5">
      <c r="A41" s="8" t="s">
        <v>129</v>
      </c>
      <c r="B41" s="8" t="s">
        <v>130</v>
      </c>
      <c r="C41" s="11"/>
      <c r="D41" s="10" t="s">
        <v>131</v>
      </c>
      <c r="E41" s="8" t="s">
        <v>132</v>
      </c>
      <c r="F41" s="9" t="s">
        <v>133</v>
      </c>
      <c r="G41" s="11" t="s">
        <v>134</v>
      </c>
    </row>
    <row r="42" spans="1:12" ht="13.5">
      <c r="A42" s="21" t="s">
        <v>135</v>
      </c>
      <c r="B42" s="30" t="s">
        <v>136</v>
      </c>
      <c r="C42" s="58"/>
      <c r="D42" s="31" t="s">
        <v>137</v>
      </c>
      <c r="E42" s="56" t="s">
        <v>138</v>
      </c>
      <c r="F42" s="31" t="s">
        <v>139</v>
      </c>
      <c r="G42" s="30" t="s">
        <v>140</v>
      </c>
      <c r="H42" s="4">
        <v>3</v>
      </c>
      <c r="I42" s="4">
        <v>3.8</v>
      </c>
      <c r="J42" s="18">
        <f aca="true" t="shared" si="6" ref="J42:J52">H42*C42/1000</f>
        <v>0</v>
      </c>
      <c r="K42" s="19" t="s">
        <v>15</v>
      </c>
      <c r="L42" s="20">
        <f aca="true" t="shared" si="7" ref="L42:L52">I42*C42/1000</f>
        <v>0</v>
      </c>
    </row>
    <row r="43" spans="1:12" ht="13.5">
      <c r="A43" s="13" t="s">
        <v>141</v>
      </c>
      <c r="B43" s="14" t="s">
        <v>136</v>
      </c>
      <c r="C43" s="15"/>
      <c r="D43" s="16" t="s">
        <v>142</v>
      </c>
      <c r="E43" s="17" t="s">
        <v>138</v>
      </c>
      <c r="F43" s="16" t="s">
        <v>143</v>
      </c>
      <c r="G43" s="14" t="s">
        <v>144</v>
      </c>
      <c r="H43" s="4">
        <v>4.7</v>
      </c>
      <c r="I43" s="4">
        <v>5</v>
      </c>
      <c r="J43" s="18">
        <f t="shared" si="6"/>
        <v>0</v>
      </c>
      <c r="K43" s="19" t="s">
        <v>15</v>
      </c>
      <c r="L43" s="20">
        <f t="shared" si="7"/>
        <v>0</v>
      </c>
    </row>
    <row r="44" spans="1:12" ht="27">
      <c r="A44" s="21" t="s">
        <v>145</v>
      </c>
      <c r="B44" s="30" t="s">
        <v>146</v>
      </c>
      <c r="C44" s="58"/>
      <c r="D44" s="31" t="s">
        <v>147</v>
      </c>
      <c r="E44" s="51" t="s">
        <v>148</v>
      </c>
      <c r="F44" s="31" t="s">
        <v>149</v>
      </c>
      <c r="G44" s="30" t="s">
        <v>149</v>
      </c>
      <c r="H44" s="4">
        <v>8.2</v>
      </c>
      <c r="I44" s="4">
        <v>8.2</v>
      </c>
      <c r="J44" s="18">
        <f t="shared" si="6"/>
        <v>0</v>
      </c>
      <c r="K44" s="19" t="s">
        <v>15</v>
      </c>
      <c r="L44" s="20">
        <f t="shared" si="7"/>
        <v>0</v>
      </c>
    </row>
    <row r="45" spans="1:12" ht="27">
      <c r="A45" s="13" t="s">
        <v>150</v>
      </c>
      <c r="B45" s="14" t="s">
        <v>136</v>
      </c>
      <c r="C45" s="15"/>
      <c r="D45" s="16" t="s">
        <v>151</v>
      </c>
      <c r="E45" s="17" t="s">
        <v>148</v>
      </c>
      <c r="F45" s="16" t="s">
        <v>152</v>
      </c>
      <c r="G45" s="14" t="s">
        <v>153</v>
      </c>
      <c r="H45" s="4">
        <v>20.6</v>
      </c>
      <c r="I45" s="4">
        <v>22</v>
      </c>
      <c r="J45" s="18">
        <f t="shared" si="6"/>
        <v>0</v>
      </c>
      <c r="K45" s="19" t="s">
        <v>15</v>
      </c>
      <c r="L45" s="20">
        <f t="shared" si="7"/>
        <v>0</v>
      </c>
    </row>
    <row r="46" spans="1:12" ht="27">
      <c r="A46" s="21">
        <v>150</v>
      </c>
      <c r="B46" s="23" t="s">
        <v>154</v>
      </c>
      <c r="C46" s="24"/>
      <c r="D46" s="25" t="s">
        <v>151</v>
      </c>
      <c r="E46" s="26" t="s">
        <v>148</v>
      </c>
      <c r="F46" s="25" t="s">
        <v>155</v>
      </c>
      <c r="G46" s="23" t="s">
        <v>155</v>
      </c>
      <c r="H46" s="4">
        <v>18.7</v>
      </c>
      <c r="I46" s="4">
        <v>18.7</v>
      </c>
      <c r="J46" s="18">
        <f t="shared" si="6"/>
        <v>0</v>
      </c>
      <c r="K46" s="19" t="s">
        <v>15</v>
      </c>
      <c r="L46" s="20">
        <f t="shared" si="7"/>
        <v>0</v>
      </c>
    </row>
    <row r="47" spans="1:12" ht="27">
      <c r="A47" s="21" t="s">
        <v>156</v>
      </c>
      <c r="B47" s="30" t="s">
        <v>136</v>
      </c>
      <c r="C47" s="58"/>
      <c r="D47" s="31" t="s">
        <v>151</v>
      </c>
      <c r="E47" s="56" t="s">
        <v>138</v>
      </c>
      <c r="F47" s="31" t="s">
        <v>155</v>
      </c>
      <c r="G47" s="30" t="s">
        <v>157</v>
      </c>
      <c r="H47" s="4">
        <v>18.7</v>
      </c>
      <c r="I47" s="4">
        <v>20</v>
      </c>
      <c r="J47" s="18">
        <f t="shared" si="6"/>
        <v>0</v>
      </c>
      <c r="K47" s="19" t="s">
        <v>15</v>
      </c>
      <c r="L47" s="20">
        <f t="shared" si="7"/>
        <v>0</v>
      </c>
    </row>
    <row r="48" spans="1:12" ht="13.5">
      <c r="A48" s="13" t="s">
        <v>158</v>
      </c>
      <c r="B48" s="14" t="s">
        <v>136</v>
      </c>
      <c r="C48" s="15"/>
      <c r="D48" s="16" t="s">
        <v>159</v>
      </c>
      <c r="E48" s="17" t="s">
        <v>138</v>
      </c>
      <c r="F48" s="16" t="s">
        <v>160</v>
      </c>
      <c r="G48" s="14" t="s">
        <v>161</v>
      </c>
      <c r="H48" s="4">
        <v>16</v>
      </c>
      <c r="I48" s="4">
        <v>18</v>
      </c>
      <c r="J48" s="18">
        <f t="shared" si="6"/>
        <v>0</v>
      </c>
      <c r="K48" s="19" t="s">
        <v>15</v>
      </c>
      <c r="L48" s="20">
        <f t="shared" si="7"/>
        <v>0</v>
      </c>
    </row>
    <row r="49" spans="1:12" ht="13.5">
      <c r="A49" s="13" t="s">
        <v>162</v>
      </c>
      <c r="B49" s="14" t="s">
        <v>136</v>
      </c>
      <c r="C49" s="15"/>
      <c r="D49" s="16" t="s">
        <v>163</v>
      </c>
      <c r="E49" s="17" t="s">
        <v>138</v>
      </c>
      <c r="F49" s="16" t="s">
        <v>164</v>
      </c>
      <c r="G49" s="14" t="s">
        <v>165</v>
      </c>
      <c r="H49" s="4">
        <v>13</v>
      </c>
      <c r="I49" s="4">
        <v>14.8</v>
      </c>
      <c r="J49" s="18">
        <f t="shared" si="6"/>
        <v>0</v>
      </c>
      <c r="K49" s="19" t="s">
        <v>15</v>
      </c>
      <c r="L49" s="20">
        <f t="shared" si="7"/>
        <v>0</v>
      </c>
    </row>
    <row r="50" spans="1:12" ht="13.5">
      <c r="A50" s="13" t="s">
        <v>166</v>
      </c>
      <c r="B50" s="14" t="s">
        <v>136</v>
      </c>
      <c r="C50" s="15"/>
      <c r="D50" s="16" t="s">
        <v>167</v>
      </c>
      <c r="E50" s="17" t="s">
        <v>138</v>
      </c>
      <c r="F50" s="16" t="s">
        <v>168</v>
      </c>
      <c r="G50" s="14" t="s">
        <v>169</v>
      </c>
      <c r="H50" s="4">
        <v>36</v>
      </c>
      <c r="I50" s="4">
        <v>41</v>
      </c>
      <c r="J50" s="18">
        <f t="shared" si="6"/>
        <v>0</v>
      </c>
      <c r="K50" s="19" t="s">
        <v>15</v>
      </c>
      <c r="L50" s="20">
        <f t="shared" si="7"/>
        <v>0</v>
      </c>
    </row>
    <row r="51" spans="1:12" ht="27" customHeight="1">
      <c r="A51" s="21" t="s">
        <v>170</v>
      </c>
      <c r="B51" s="14" t="s">
        <v>154</v>
      </c>
      <c r="C51" s="15"/>
      <c r="D51" s="16" t="s">
        <v>171</v>
      </c>
      <c r="E51" s="17" t="s">
        <v>148</v>
      </c>
      <c r="F51" s="16" t="s">
        <v>172</v>
      </c>
      <c r="G51" s="14" t="s">
        <v>172</v>
      </c>
      <c r="H51" s="4">
        <v>33</v>
      </c>
      <c r="I51" s="4">
        <v>33</v>
      </c>
      <c r="J51" s="18">
        <f t="shared" si="6"/>
        <v>0</v>
      </c>
      <c r="K51" s="19" t="s">
        <v>15</v>
      </c>
      <c r="L51" s="20">
        <f t="shared" si="7"/>
        <v>0</v>
      </c>
    </row>
    <row r="52" spans="1:12" ht="13.5">
      <c r="A52" s="21"/>
      <c r="B52" s="14" t="s">
        <v>136</v>
      </c>
      <c r="C52" s="15"/>
      <c r="D52" s="16" t="s">
        <v>171</v>
      </c>
      <c r="E52" s="17" t="s">
        <v>138</v>
      </c>
      <c r="F52" s="16" t="s">
        <v>172</v>
      </c>
      <c r="G52" s="14" t="s">
        <v>173</v>
      </c>
      <c r="H52" s="4">
        <v>33</v>
      </c>
      <c r="I52" s="4">
        <v>36</v>
      </c>
      <c r="J52" s="18">
        <f t="shared" si="6"/>
        <v>0</v>
      </c>
      <c r="K52" s="19" t="s">
        <v>15</v>
      </c>
      <c r="L52" s="20">
        <f t="shared" si="7"/>
        <v>0</v>
      </c>
    </row>
    <row r="53" ht="15">
      <c r="A53" s="59" t="s">
        <v>174</v>
      </c>
    </row>
    <row r="54" ht="13.5">
      <c r="A54" s="60" t="s">
        <v>175</v>
      </c>
    </row>
    <row r="55" spans="1:7" ht="45" customHeight="1">
      <c r="A55" s="61" t="s">
        <v>0</v>
      </c>
      <c r="B55" s="61" t="s">
        <v>176</v>
      </c>
      <c r="C55" s="62"/>
      <c r="D55" s="63" t="s">
        <v>177</v>
      </c>
      <c r="E55" s="61" t="s">
        <v>178</v>
      </c>
      <c r="F55" s="63" t="s">
        <v>179</v>
      </c>
      <c r="G55" s="62" t="s">
        <v>180</v>
      </c>
    </row>
    <row r="56" spans="1:12" ht="13.5">
      <c r="A56" s="64" t="s">
        <v>181</v>
      </c>
      <c r="B56" s="14" t="s">
        <v>182</v>
      </c>
      <c r="C56" s="15"/>
      <c r="D56" s="16" t="s">
        <v>183</v>
      </c>
      <c r="E56" s="17" t="s">
        <v>184</v>
      </c>
      <c r="F56" s="16">
        <v>22</v>
      </c>
      <c r="G56" s="14" t="s">
        <v>185</v>
      </c>
      <c r="H56" s="4">
        <v>1</v>
      </c>
      <c r="I56" s="4">
        <v>1</v>
      </c>
      <c r="J56" s="18">
        <f aca="true" t="shared" si="8" ref="J56:J57">H56*C56</f>
        <v>0</v>
      </c>
      <c r="K56" s="19" t="s">
        <v>15</v>
      </c>
      <c r="L56" s="20">
        <f aca="true" t="shared" si="9" ref="L56:L57">I56*C56</f>
        <v>0</v>
      </c>
    </row>
    <row r="57" spans="1:12" ht="13.5">
      <c r="A57" s="64" t="s">
        <v>186</v>
      </c>
      <c r="B57" s="14" t="s">
        <v>182</v>
      </c>
      <c r="C57" s="15"/>
      <c r="D57" s="16" t="s">
        <v>187</v>
      </c>
      <c r="E57" s="17" t="s">
        <v>184</v>
      </c>
      <c r="F57" s="16">
        <v>30</v>
      </c>
      <c r="G57" s="14" t="s">
        <v>188</v>
      </c>
      <c r="H57" s="4">
        <v>1.38</v>
      </c>
      <c r="I57" s="4">
        <v>1.38</v>
      </c>
      <c r="J57" s="18">
        <f t="shared" si="8"/>
        <v>0</v>
      </c>
      <c r="K57" s="19" t="s">
        <v>15</v>
      </c>
      <c r="L57" s="20">
        <f t="shared" si="9"/>
        <v>0</v>
      </c>
    </row>
    <row r="58" ht="13.5">
      <c r="A58" s="60" t="s">
        <v>189</v>
      </c>
    </row>
    <row r="59" spans="1:7" ht="39.75">
      <c r="A59" s="61" t="s">
        <v>0</v>
      </c>
      <c r="B59" s="61" t="s">
        <v>190</v>
      </c>
      <c r="C59" s="61"/>
      <c r="D59" s="65" t="s">
        <v>191</v>
      </c>
      <c r="E59" s="61" t="s">
        <v>192</v>
      </c>
      <c r="F59" s="65" t="s">
        <v>193</v>
      </c>
      <c r="G59" s="61" t="s">
        <v>194</v>
      </c>
    </row>
    <row r="60" spans="1:12" ht="13.5">
      <c r="A60" s="64" t="s">
        <v>195</v>
      </c>
      <c r="B60" s="14" t="s">
        <v>182</v>
      </c>
      <c r="C60" s="15">
        <v>100</v>
      </c>
      <c r="D60" s="16" t="s">
        <v>196</v>
      </c>
      <c r="E60" s="14" t="s">
        <v>184</v>
      </c>
      <c r="F60" s="16" t="s">
        <v>197</v>
      </c>
      <c r="G60" s="14" t="s">
        <v>198</v>
      </c>
      <c r="H60" s="4">
        <v>0.05</v>
      </c>
      <c r="I60" s="4">
        <v>0.05</v>
      </c>
      <c r="J60" s="18">
        <f aca="true" t="shared" si="10" ref="J60:J63">H60*C60</f>
        <v>5</v>
      </c>
      <c r="K60" s="19" t="s">
        <v>15</v>
      </c>
      <c r="L60" s="20">
        <f aca="true" t="shared" si="11" ref="L60:L63">I60*C60</f>
        <v>5</v>
      </c>
    </row>
    <row r="61" spans="1:12" ht="13.5">
      <c r="A61" s="64" t="s">
        <v>199</v>
      </c>
      <c r="B61" s="14" t="s">
        <v>182</v>
      </c>
      <c r="C61" s="15"/>
      <c r="D61" s="16" t="s">
        <v>200</v>
      </c>
      <c r="E61" s="14" t="s">
        <v>184</v>
      </c>
      <c r="F61" s="16" t="s">
        <v>201</v>
      </c>
      <c r="G61" s="14" t="s">
        <v>202</v>
      </c>
      <c r="H61" s="4">
        <v>0.083</v>
      </c>
      <c r="I61" s="4">
        <v>0.083</v>
      </c>
      <c r="J61" s="18">
        <f t="shared" si="10"/>
        <v>0</v>
      </c>
      <c r="K61" s="19" t="s">
        <v>15</v>
      </c>
      <c r="L61" s="20">
        <f t="shared" si="11"/>
        <v>0</v>
      </c>
    </row>
    <row r="62" spans="1:12" ht="13.5">
      <c r="A62" s="64" t="s">
        <v>203</v>
      </c>
      <c r="B62" s="14" t="s">
        <v>182</v>
      </c>
      <c r="C62" s="15">
        <v>100</v>
      </c>
      <c r="D62" s="16" t="s">
        <v>204</v>
      </c>
      <c r="E62" s="14" t="s">
        <v>184</v>
      </c>
      <c r="F62" s="16" t="s">
        <v>205</v>
      </c>
      <c r="G62" s="14" t="s">
        <v>206</v>
      </c>
      <c r="H62" s="4">
        <v>0.093</v>
      </c>
      <c r="I62" s="4">
        <v>0.093</v>
      </c>
      <c r="J62" s="18">
        <f t="shared" si="10"/>
        <v>9.3</v>
      </c>
      <c r="K62" s="19" t="s">
        <v>15</v>
      </c>
      <c r="L62" s="20">
        <f t="shared" si="11"/>
        <v>9.3</v>
      </c>
    </row>
    <row r="63" spans="1:12" ht="13.5">
      <c r="A63" s="64" t="s">
        <v>207</v>
      </c>
      <c r="B63" s="14" t="s">
        <v>182</v>
      </c>
      <c r="C63" s="15">
        <v>100</v>
      </c>
      <c r="D63" s="16" t="s">
        <v>200</v>
      </c>
      <c r="E63" s="14" t="s">
        <v>184</v>
      </c>
      <c r="F63" s="16">
        <v>4</v>
      </c>
      <c r="G63" s="14" t="s">
        <v>208</v>
      </c>
      <c r="H63" s="4">
        <v>0.133</v>
      </c>
      <c r="I63" s="4">
        <v>0.133</v>
      </c>
      <c r="J63" s="18">
        <f t="shared" si="10"/>
        <v>13.3</v>
      </c>
      <c r="K63" s="19" t="s">
        <v>15</v>
      </c>
      <c r="L63" s="20">
        <f t="shared" si="11"/>
        <v>13.3</v>
      </c>
    </row>
    <row r="64" spans="1:12" ht="13.5">
      <c r="A64" s="60" t="s">
        <v>209</v>
      </c>
      <c r="B64" s="53"/>
      <c r="C64" s="66"/>
      <c r="D64" s="54"/>
      <c r="E64" s="53"/>
      <c r="F64" s="54"/>
      <c r="G64" s="53"/>
      <c r="J64" s="67"/>
      <c r="K64" s="68"/>
      <c r="L64" s="69"/>
    </row>
    <row r="65" spans="1:7" ht="39.75">
      <c r="A65" s="61" t="s">
        <v>0</v>
      </c>
      <c r="B65" s="61" t="s">
        <v>190</v>
      </c>
      <c r="C65" s="61"/>
      <c r="D65" s="65" t="s">
        <v>191</v>
      </c>
      <c r="E65" s="61" t="s">
        <v>192</v>
      </c>
      <c r="F65" s="65" t="s">
        <v>193</v>
      </c>
      <c r="G65" s="61" t="s">
        <v>194</v>
      </c>
    </row>
    <row r="66" spans="1:12" ht="13.5">
      <c r="A66" s="64" t="s">
        <v>210</v>
      </c>
      <c r="B66" s="14" t="s">
        <v>182</v>
      </c>
      <c r="C66" s="15">
        <v>100</v>
      </c>
      <c r="D66" s="16" t="s">
        <v>211</v>
      </c>
      <c r="E66" s="14" t="s">
        <v>184</v>
      </c>
      <c r="F66" s="16" t="s">
        <v>212</v>
      </c>
      <c r="G66" s="14" t="s">
        <v>213</v>
      </c>
      <c r="H66" s="4">
        <v>0.011</v>
      </c>
      <c r="I66" s="4">
        <v>0.011</v>
      </c>
      <c r="J66" s="18">
        <f>H66*C66</f>
        <v>1.0999999999999999</v>
      </c>
      <c r="K66" s="19" t="s">
        <v>15</v>
      </c>
      <c r="L66" s="20">
        <f>I66*C66</f>
        <v>1.0999999999999999</v>
      </c>
    </row>
    <row r="67" ht="13.5"/>
    <row r="68" spans="6:12" ht="13.5">
      <c r="F68" s="70" t="s">
        <v>214</v>
      </c>
      <c r="G68" s="71" t="s">
        <v>215</v>
      </c>
      <c r="H68" s="72"/>
      <c r="I68" s="72"/>
      <c r="J68" s="18">
        <f>J3+J5+J6+J7+J8+J9+J11+J12+J13+J15+J16+J19+J21+J23+J25+J28+J29+J30+J32+J34+J35+J37+J38+J42+J43+J44+J45+J46+J47+J48+J49+J50+J51+J52+J56+J57+J60+J61+J62+J63+J66</f>
        <v>28.700000000000003</v>
      </c>
      <c r="K68" s="19" t="s">
        <v>15</v>
      </c>
      <c r="L68" s="20">
        <f>L3+L5+L6+L7+L8+L9+L11+L12+L13+L15+L16+L19+L21+L23+L25+L28+L29+L30+L32+L34+L35+L37+L38+L42+L43+L44+L45+L46+L47+L48+L49+L50+L51+L52+L56+L57+L60+L61+L62+L63+L66</f>
        <v>28.700000000000003</v>
      </c>
    </row>
    <row r="69" spans="6:12" ht="13.5">
      <c r="F69" s="73"/>
      <c r="G69" s="74" t="s">
        <v>216</v>
      </c>
      <c r="H69" s="75"/>
      <c r="I69" s="75"/>
      <c r="J69" s="18">
        <f>J4+J10+J14+J17+J20+J22+J24+J26+J31+J33+J36+J39</f>
        <v>1.5</v>
      </c>
      <c r="K69" s="19" t="s">
        <v>15</v>
      </c>
      <c r="L69" s="20">
        <f>L4+L10+L14+L17+L20+L22+L24+L26+L31+L33+L36+L39</f>
        <v>2.5</v>
      </c>
    </row>
    <row r="70" spans="6:12" ht="12.75">
      <c r="F70" s="3" t="s">
        <v>217</v>
      </c>
      <c r="J70" s="76">
        <v>2</v>
      </c>
      <c r="L70" s="6" t="s">
        <v>218</v>
      </c>
    </row>
    <row r="71" spans="6:12" ht="12.75">
      <c r="F71" s="3" t="s">
        <v>219</v>
      </c>
      <c r="G71" s="1" t="s">
        <v>220</v>
      </c>
      <c r="J71" s="77">
        <f>J68*J70</f>
        <v>57.400000000000006</v>
      </c>
      <c r="K71" s="68" t="s">
        <v>15</v>
      </c>
      <c r="L71" s="6">
        <f>L68*J70</f>
        <v>57.400000000000006</v>
      </c>
    </row>
    <row r="72" spans="7:12" ht="12.75">
      <c r="G72" s="1" t="s">
        <v>221</v>
      </c>
      <c r="J72" s="77">
        <f>J69*J70</f>
        <v>3</v>
      </c>
      <c r="K72" s="68" t="s">
        <v>15</v>
      </c>
      <c r="L72" s="6">
        <f>L69*J70</f>
        <v>5</v>
      </c>
    </row>
    <row r="73" spans="6:13" ht="15">
      <c r="F73" s="78" t="s">
        <v>222</v>
      </c>
      <c r="G73" s="1" t="s">
        <v>223</v>
      </c>
      <c r="J73" s="67">
        <f>INT(J68/1.8*100)/100*J70</f>
        <v>31.88</v>
      </c>
      <c r="K73" s="68" t="s">
        <v>15</v>
      </c>
      <c r="L73" s="69">
        <f>INT(L68/1.8*100)/100*J70</f>
        <v>31.88</v>
      </c>
      <c r="M73" s="67" t="s">
        <v>224</v>
      </c>
    </row>
  </sheetData>
  <sheetProtection selectLockedCells="1" selectUnlockedCells="1"/>
  <mergeCells count="17">
    <mergeCell ref="J1:L1"/>
    <mergeCell ref="A2:L2"/>
    <mergeCell ref="A3:A4"/>
    <mergeCell ref="A5:A7"/>
    <mergeCell ref="A8:A11"/>
    <mergeCell ref="A12:A17"/>
    <mergeCell ref="B13:B14"/>
    <mergeCell ref="D13:D14"/>
    <mergeCell ref="A18:J18"/>
    <mergeCell ref="A19:A20"/>
    <mergeCell ref="A21:A22"/>
    <mergeCell ref="A25:A26"/>
    <mergeCell ref="A29:A31"/>
    <mergeCell ref="A32:A33"/>
    <mergeCell ref="A34:A36"/>
    <mergeCell ref="A37:A39"/>
    <mergeCell ref="A51:A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workbookViewId="0" topLeftCell="B34">
      <selection activeCell="J5" sqref="J5"/>
    </sheetView>
  </sheetViews>
  <sheetFormatPr defaultColWidth="8.00390625" defaultRowHeight="12.75"/>
  <cols>
    <col min="1" max="1" width="32.00390625" style="0" customWidth="1"/>
    <col min="2" max="2" width="15.7109375" style="79" customWidth="1"/>
    <col min="3" max="3" width="16.140625" style="0" customWidth="1"/>
    <col min="4" max="4" width="14.140625" style="0" customWidth="1"/>
    <col min="5" max="5" width="15.7109375" style="0" customWidth="1"/>
    <col min="6" max="16384" width="9.00390625" style="0" customWidth="1"/>
  </cols>
  <sheetData>
    <row r="1" spans="1:6" ht="76.5" customHeight="1">
      <c r="A1" s="61" t="s">
        <v>225</v>
      </c>
      <c r="B1" s="80" t="s">
        <v>2</v>
      </c>
      <c r="C1" s="61" t="s">
        <v>226</v>
      </c>
      <c r="D1" s="61"/>
      <c r="E1" s="61" t="s">
        <v>227</v>
      </c>
      <c r="F1" s="61"/>
    </row>
    <row r="2" spans="1:6" ht="13.5">
      <c r="A2" s="61"/>
      <c r="B2" s="80"/>
      <c r="C2" s="81" t="s">
        <v>228</v>
      </c>
      <c r="D2" s="81" t="s">
        <v>229</v>
      </c>
      <c r="E2" s="81" t="s">
        <v>228</v>
      </c>
      <c r="F2" s="81" t="s">
        <v>229</v>
      </c>
    </row>
    <row r="3" spans="1:6" ht="15.75">
      <c r="A3" s="61"/>
      <c r="B3" s="80"/>
      <c r="C3" s="82" t="s">
        <v>230</v>
      </c>
      <c r="D3" s="82" t="s">
        <v>231</v>
      </c>
      <c r="E3" s="82" t="s">
        <v>232</v>
      </c>
      <c r="F3" s="82" t="s">
        <v>233</v>
      </c>
    </row>
    <row r="4" spans="1:6" ht="27">
      <c r="A4" s="83" t="s">
        <v>234</v>
      </c>
      <c r="B4" s="84">
        <v>1</v>
      </c>
      <c r="C4" s="82">
        <f>64.77*B4</f>
        <v>64.77</v>
      </c>
      <c r="D4" s="82">
        <f>B4*72.07</f>
        <v>72.07</v>
      </c>
      <c r="E4" s="82">
        <f>B4*45.9</f>
        <v>45.9</v>
      </c>
      <c r="F4" s="82">
        <f>B4*51.07</f>
        <v>51.07</v>
      </c>
    </row>
    <row r="5" spans="1:6" ht="27">
      <c r="A5" s="85" t="s">
        <v>235</v>
      </c>
      <c r="B5" s="84">
        <v>43</v>
      </c>
      <c r="C5" s="81">
        <f>B5*54.49</f>
        <v>2343.07</v>
      </c>
      <c r="D5" s="81">
        <f>B5*60.64</f>
        <v>2607.52</v>
      </c>
      <c r="E5" s="81">
        <f>B5*40</f>
        <v>1720</v>
      </c>
      <c r="F5" s="81">
        <f>B5*44.36</f>
        <v>1907.48</v>
      </c>
    </row>
    <row r="6" spans="1:6" ht="27">
      <c r="A6" s="83" t="s">
        <v>236</v>
      </c>
      <c r="B6" s="84">
        <v>1</v>
      </c>
      <c r="C6" s="82">
        <f>B6*48.27</f>
        <v>48.27</v>
      </c>
      <c r="D6" s="82">
        <f>B6*53.8</f>
        <v>53.8</v>
      </c>
      <c r="E6" s="82">
        <f>B6*36.42</f>
        <v>36.42</v>
      </c>
      <c r="F6" s="82">
        <f>B6*40.59</f>
        <v>40.59</v>
      </c>
    </row>
    <row r="7" spans="1:6" ht="13.5">
      <c r="A7" s="83" t="s">
        <v>237</v>
      </c>
      <c r="B7" s="84">
        <v>1</v>
      </c>
      <c r="C7" s="82">
        <f>B7*44.5</f>
        <v>44.5</v>
      </c>
      <c r="D7" s="82">
        <f>B7*49.54</f>
        <v>49.54</v>
      </c>
      <c r="E7" s="82">
        <f>B7*33.66</f>
        <v>33.66</v>
      </c>
      <c r="F7" s="82">
        <f>B7*37.48</f>
        <v>37.48</v>
      </c>
    </row>
    <row r="8" spans="1:6" ht="13.5">
      <c r="A8" s="83" t="s">
        <v>238</v>
      </c>
      <c r="B8" s="84">
        <v>1</v>
      </c>
      <c r="C8" s="82">
        <f>B8*41.84</f>
        <v>41.84</v>
      </c>
      <c r="D8" s="82">
        <f>B8*46.55</f>
        <v>46.55</v>
      </c>
      <c r="E8" s="82">
        <f>B8*29.83</f>
        <v>29.83</v>
      </c>
      <c r="F8" s="82">
        <f>B8*33.19</f>
        <v>33.19</v>
      </c>
    </row>
    <row r="9" spans="1:6" ht="13.5">
      <c r="A9" s="83" t="s">
        <v>239</v>
      </c>
      <c r="B9" s="84">
        <v>1</v>
      </c>
      <c r="C9" s="82">
        <f>B9*44.4</f>
        <v>44.4</v>
      </c>
      <c r="D9" s="82">
        <f>B9*49.48</f>
        <v>49.48</v>
      </c>
      <c r="E9" s="82">
        <f>B9*31.62</f>
        <v>31.62</v>
      </c>
      <c r="F9" s="82">
        <f>B9*35.24</f>
        <v>35.24</v>
      </c>
    </row>
    <row r="10" spans="1:6" ht="13.5">
      <c r="A10" s="83" t="s">
        <v>240</v>
      </c>
      <c r="B10" s="84">
        <v>1</v>
      </c>
      <c r="C10" s="82">
        <f>B10*41.96</f>
        <v>41.96</v>
      </c>
      <c r="D10" s="82">
        <f>B10*45.83</f>
        <v>45.83</v>
      </c>
      <c r="E10" s="82">
        <f>B10*29.92</f>
        <v>29.92</v>
      </c>
      <c r="F10" s="82">
        <f>B10*32.67</f>
        <v>32.67</v>
      </c>
    </row>
    <row r="11" spans="1:6" ht="13.5">
      <c r="A11" s="83" t="s">
        <v>241</v>
      </c>
      <c r="B11" s="84">
        <v>1</v>
      </c>
      <c r="C11" s="82">
        <f>B11*25.15</f>
        <v>25.15</v>
      </c>
      <c r="D11" s="82">
        <f>B11*20.2</f>
        <v>20.2</v>
      </c>
      <c r="E11" s="82">
        <f>B11*18.14</f>
        <v>18.14</v>
      </c>
      <c r="F11" s="82">
        <f>B11*14.57</f>
        <v>14.57</v>
      </c>
    </row>
    <row r="12" spans="1:6" ht="27">
      <c r="A12" s="83" t="s">
        <v>242</v>
      </c>
      <c r="B12" s="84">
        <v>1</v>
      </c>
      <c r="C12" s="82">
        <f>B12*27.09</f>
        <v>27.09</v>
      </c>
      <c r="D12" s="82">
        <f>B12*30.13</f>
        <v>30.13</v>
      </c>
      <c r="E12" s="82">
        <f>B12*23.47</f>
        <v>23.47</v>
      </c>
      <c r="F12" s="82">
        <f>B12*26.1</f>
        <v>26.1</v>
      </c>
    </row>
    <row r="13" spans="1:6" ht="27">
      <c r="A13" s="83" t="s">
        <v>243</v>
      </c>
      <c r="B13" s="84">
        <v>1</v>
      </c>
      <c r="C13" s="82">
        <f>B13*27.35</f>
        <v>27.35</v>
      </c>
      <c r="D13" s="82">
        <f>B13*30.4</f>
        <v>30.4</v>
      </c>
      <c r="E13" s="82">
        <f>B13*23.07</f>
        <v>23.07</v>
      </c>
      <c r="F13" s="82">
        <f>B13*25.35</f>
        <v>25.35</v>
      </c>
    </row>
    <row r="14" spans="1:6" ht="27">
      <c r="A14" s="83" t="s">
        <v>244</v>
      </c>
      <c r="B14" s="84">
        <v>1</v>
      </c>
      <c r="C14" s="82">
        <f>B14*27.48</f>
        <v>27.48</v>
      </c>
      <c r="D14" s="82">
        <f>B14*30.57</f>
        <v>30.57</v>
      </c>
      <c r="E14" s="82">
        <f>B14*22.62</f>
        <v>22.62</v>
      </c>
      <c r="F14" s="82">
        <f>B14*25.15</f>
        <v>25.15</v>
      </c>
    </row>
    <row r="15" spans="1:6" ht="39.75">
      <c r="A15" s="83" t="s">
        <v>245</v>
      </c>
      <c r="B15" s="84">
        <v>1</v>
      </c>
      <c r="C15" s="82"/>
      <c r="D15" s="82"/>
      <c r="E15" s="82"/>
      <c r="F15" s="82"/>
    </row>
    <row r="16" spans="1:6" ht="13.5">
      <c r="A16" s="86" t="s">
        <v>246</v>
      </c>
      <c r="B16" s="84">
        <v>1</v>
      </c>
      <c r="C16" s="82">
        <f>2.29*B16</f>
        <v>2.29</v>
      </c>
      <c r="D16" s="82">
        <f>B16*2.54</f>
        <v>2.54</v>
      </c>
      <c r="E16" s="82">
        <f>B16*1.84</f>
        <v>1.84</v>
      </c>
      <c r="F16" s="82">
        <f>B16*2.04</f>
        <v>2.04</v>
      </c>
    </row>
    <row r="17" spans="1:6" ht="39.75">
      <c r="A17" s="86" t="s">
        <v>247</v>
      </c>
      <c r="B17" s="84">
        <v>1</v>
      </c>
      <c r="C17" s="82">
        <f>1.58*B17</f>
        <v>1.58</v>
      </c>
      <c r="D17" s="82">
        <f>B17*1.75</f>
        <v>1.75</v>
      </c>
      <c r="E17" s="82">
        <f>B17*1.34</f>
        <v>1.34</v>
      </c>
      <c r="F17" s="82">
        <f>B17*1.49</f>
        <v>1.49</v>
      </c>
    </row>
    <row r="18" spans="1:6" ht="27">
      <c r="A18" s="86" t="s">
        <v>248</v>
      </c>
      <c r="B18" s="84">
        <v>1</v>
      </c>
      <c r="C18" s="82">
        <f>B18*1.61</f>
        <v>1.61</v>
      </c>
      <c r="D18" s="82">
        <f>B18*1.8</f>
        <v>1.8</v>
      </c>
      <c r="E18" s="82">
        <f>B18*1.33</f>
        <v>1.33</v>
      </c>
      <c r="F18" s="82">
        <f>B18*1.48</f>
        <v>1.48</v>
      </c>
    </row>
    <row r="19" spans="1:6" ht="39.75">
      <c r="A19" s="86" t="s">
        <v>249</v>
      </c>
      <c r="B19" s="84">
        <v>1</v>
      </c>
      <c r="C19" s="82">
        <f>B19*1.64</f>
        <v>1.64</v>
      </c>
      <c r="D19" s="82">
        <f>B19*1.82</f>
        <v>1.82</v>
      </c>
      <c r="E19" s="82">
        <f>B19*1.31</f>
        <v>1.31</v>
      </c>
      <c r="F19" s="82">
        <f>B19*1.46</f>
        <v>1.46</v>
      </c>
    </row>
    <row r="20" spans="1:6" ht="39.75">
      <c r="A20" s="86" t="s">
        <v>250</v>
      </c>
      <c r="B20" s="84">
        <v>1</v>
      </c>
      <c r="C20" s="82">
        <f>B20*3.78</f>
        <v>3.78</v>
      </c>
      <c r="D20" s="82">
        <f>B20*4.21</f>
        <v>4.21</v>
      </c>
      <c r="E20" s="82">
        <f>B20*3.21</f>
        <v>3.21</v>
      </c>
      <c r="F20" s="82">
        <f>B20*3.57</f>
        <v>3.57</v>
      </c>
    </row>
    <row r="21" spans="1:6" ht="39.75">
      <c r="A21" s="86" t="s">
        <v>251</v>
      </c>
      <c r="B21" s="84">
        <v>1</v>
      </c>
      <c r="C21" s="82">
        <f>B21*3.86</f>
        <v>3.86</v>
      </c>
      <c r="D21" s="82">
        <f>B21*4.31</f>
        <v>4.31</v>
      </c>
      <c r="E21" s="82">
        <f>B21*3.18</f>
        <v>3.18</v>
      </c>
      <c r="F21" s="82">
        <f>B21*3.56</f>
        <v>3.56</v>
      </c>
    </row>
    <row r="22" spans="1:6" ht="39.75">
      <c r="A22" s="86" t="s">
        <v>252</v>
      </c>
      <c r="B22" s="84">
        <v>1</v>
      </c>
      <c r="C22" s="82">
        <f>B22*3.93</f>
        <v>3.93</v>
      </c>
      <c r="D22" s="82">
        <f>B22*4.36</f>
        <v>4.36</v>
      </c>
      <c r="E22" s="82">
        <f>B22*3.15</f>
        <v>3.15</v>
      </c>
      <c r="F22" s="82">
        <f>B22*3.5</f>
        <v>3.5</v>
      </c>
    </row>
    <row r="23" spans="1:6" ht="27">
      <c r="A23" s="83" t="s">
        <v>253</v>
      </c>
      <c r="B23" s="84">
        <v>1</v>
      </c>
      <c r="C23" s="82"/>
      <c r="D23" s="82"/>
      <c r="E23" s="82"/>
      <c r="F23" s="82"/>
    </row>
    <row r="24" spans="1:6" ht="27">
      <c r="A24" s="86" t="s">
        <v>254</v>
      </c>
      <c r="B24" s="84">
        <v>1</v>
      </c>
      <c r="C24" s="82">
        <f>B24*7.65</f>
        <v>7.65</v>
      </c>
      <c r="D24" s="82">
        <f>B24*8.5</f>
        <v>8.5</v>
      </c>
      <c r="E24" s="82">
        <f>B24*6.39</f>
        <v>6.39</v>
      </c>
      <c r="F24" s="82">
        <f>B24*7.1</f>
        <v>7.1</v>
      </c>
    </row>
    <row r="25" spans="1:6" ht="27">
      <c r="A25" s="86" t="s">
        <v>255</v>
      </c>
      <c r="B25" s="84">
        <v>1</v>
      </c>
      <c r="C25" s="82">
        <f>B25*7.05</f>
        <v>7.05</v>
      </c>
      <c r="D25" s="82">
        <f>B25*7.87</f>
        <v>7.87</v>
      </c>
      <c r="E25" s="82">
        <f>B25*5.85</f>
        <v>5.85</v>
      </c>
      <c r="F25" s="82">
        <f>B25*6.53</f>
        <v>6.53</v>
      </c>
    </row>
    <row r="26" spans="1:6" ht="13.5">
      <c r="A26" s="83" t="s">
        <v>256</v>
      </c>
      <c r="B26" s="84">
        <v>1</v>
      </c>
      <c r="C26" s="82">
        <f>B26*13.96</f>
        <v>13.96</v>
      </c>
      <c r="D26" s="82"/>
      <c r="E26" s="82">
        <f>B26*13.96</f>
        <v>13.96</v>
      </c>
      <c r="F26" s="82"/>
    </row>
    <row r="27" spans="1:6" ht="13.5">
      <c r="A27" s="83" t="s">
        <v>257</v>
      </c>
      <c r="B27" s="84">
        <v>1</v>
      </c>
      <c r="C27" s="82">
        <f>B27*15.88</f>
        <v>15.88</v>
      </c>
      <c r="D27" s="82"/>
      <c r="E27" s="82">
        <f>B27*15.88</f>
        <v>15.88</v>
      </c>
      <c r="F27" s="82"/>
    </row>
    <row r="28" spans="1:6" ht="13.5">
      <c r="A28" s="83" t="s">
        <v>258</v>
      </c>
      <c r="B28" s="84">
        <v>1</v>
      </c>
      <c r="C28" s="82">
        <f>B28*46.54</f>
        <v>46.54</v>
      </c>
      <c r="D28" s="82"/>
      <c r="E28" s="82">
        <f>B28*46.54</f>
        <v>46.54</v>
      </c>
      <c r="F28" s="82"/>
    </row>
    <row r="29" spans="1:6" ht="27">
      <c r="A29" s="83" t="s">
        <v>259</v>
      </c>
      <c r="B29" s="84">
        <v>1</v>
      </c>
      <c r="C29" s="82">
        <f>B29*0.03</f>
        <v>0.03</v>
      </c>
      <c r="D29" s="82"/>
      <c r="E29" s="82">
        <f>B29*0.03</f>
        <v>0.03</v>
      </c>
      <c r="F29" s="82"/>
    </row>
    <row r="30" spans="1:6" ht="27">
      <c r="A30" s="83" t="s">
        <v>260</v>
      </c>
      <c r="B30" s="84">
        <v>1</v>
      </c>
      <c r="C30" s="82">
        <f>B30*0.05</f>
        <v>0.05</v>
      </c>
      <c r="D30" s="82"/>
      <c r="E30" s="82">
        <f>B30*0.05</f>
        <v>0.05</v>
      </c>
      <c r="F30" s="82"/>
    </row>
    <row r="31" spans="1:6" ht="27">
      <c r="A31" s="83" t="s">
        <v>261</v>
      </c>
      <c r="B31" s="84">
        <v>1</v>
      </c>
      <c r="C31" s="82">
        <f>B31*0.32</f>
        <v>0.32</v>
      </c>
      <c r="D31" s="82"/>
      <c r="E31" s="82">
        <f>B31*0.32</f>
        <v>0.32</v>
      </c>
      <c r="F31" s="82"/>
    </row>
    <row r="32" spans="1:6" ht="27">
      <c r="A32" s="83" t="s">
        <v>262</v>
      </c>
      <c r="B32" s="84">
        <v>1</v>
      </c>
      <c r="C32" s="82">
        <f>B32*0.3</f>
        <v>0.3</v>
      </c>
      <c r="D32" s="82"/>
      <c r="E32" s="82">
        <f>B32*0.3</f>
        <v>0.3</v>
      </c>
      <c r="F32" s="82"/>
    </row>
    <row r="33" spans="1:6" ht="27">
      <c r="A33" s="83" t="s">
        <v>263</v>
      </c>
      <c r="B33" s="84">
        <v>1</v>
      </c>
      <c r="C33" s="82">
        <f>B33*0.38</f>
        <v>0.38</v>
      </c>
      <c r="D33" s="82"/>
      <c r="E33" s="82">
        <f>B33*0.38</f>
        <v>0.38</v>
      </c>
      <c r="F33" s="82"/>
    </row>
    <row r="34" spans="1:6" ht="27">
      <c r="A34" s="83" t="s">
        <v>264</v>
      </c>
      <c r="B34" s="84">
        <v>1</v>
      </c>
      <c r="C34" s="82">
        <f>B34*0.24</f>
        <v>0.24</v>
      </c>
      <c r="D34" s="82"/>
      <c r="E34" s="82">
        <f>B34*0.24</f>
        <v>0.24</v>
      </c>
      <c r="F34" s="82"/>
    </row>
    <row r="35" spans="1:6" ht="13.5">
      <c r="A35" s="83" t="s">
        <v>265</v>
      </c>
      <c r="B35" s="84">
        <v>1</v>
      </c>
      <c r="C35" s="82">
        <f>B35*0.57</f>
        <v>0.57</v>
      </c>
      <c r="D35" s="82"/>
      <c r="E35" s="82">
        <f>B35*0.57</f>
        <v>0.57</v>
      </c>
      <c r="F35" s="82"/>
    </row>
    <row r="36" spans="1:6" ht="13.5">
      <c r="A36" s="83" t="s">
        <v>266</v>
      </c>
      <c r="B36" s="84">
        <v>1</v>
      </c>
      <c r="C36" s="82">
        <f>B36*0.49</f>
        <v>0.49</v>
      </c>
      <c r="D36" s="82"/>
      <c r="E36" s="82">
        <f>B36*0.49</f>
        <v>0.49</v>
      </c>
      <c r="F36" s="82"/>
    </row>
    <row r="37" spans="1:6" ht="13.5">
      <c r="A37" s="83" t="s">
        <v>267</v>
      </c>
      <c r="B37" s="84">
        <v>1</v>
      </c>
      <c r="C37" s="82">
        <f>B37*0.81</f>
        <v>0.81</v>
      </c>
      <c r="D37" s="82"/>
      <c r="E37" s="82">
        <f>B37*0.81</f>
        <v>0.81</v>
      </c>
      <c r="F37" s="82"/>
    </row>
    <row r="38" ht="13.5"/>
    <row r="39" spans="1:6" ht="76.5" customHeight="1">
      <c r="A39" s="87"/>
      <c r="B39" s="80"/>
      <c r="C39" s="62" t="s">
        <v>226</v>
      </c>
      <c r="D39" s="62"/>
      <c r="E39" s="61" t="s">
        <v>227</v>
      </c>
      <c r="F39" s="61"/>
    </row>
    <row r="40" spans="1:6" ht="13.5">
      <c r="A40" s="87"/>
      <c r="B40" s="80"/>
      <c r="C40" s="81" t="s">
        <v>228</v>
      </c>
      <c r="D40" s="81" t="s">
        <v>229</v>
      </c>
      <c r="E40" s="81" t="s">
        <v>228</v>
      </c>
      <c r="F40" s="81" t="s">
        <v>229</v>
      </c>
    </row>
    <row r="41" spans="1:6" ht="15.75">
      <c r="A41" s="87"/>
      <c r="B41" s="80"/>
      <c r="C41" s="82" t="s">
        <v>230</v>
      </c>
      <c r="D41" s="82" t="s">
        <v>231</v>
      </c>
      <c r="E41" s="82" t="s">
        <v>232</v>
      </c>
      <c r="F41" s="82" t="s">
        <v>233</v>
      </c>
    </row>
    <row r="42" spans="2:6" ht="13.5">
      <c r="B42" s="88" t="s">
        <v>214</v>
      </c>
      <c r="C42" s="89">
        <f>SUM(C4:C37)</f>
        <v>2848.8400000000015</v>
      </c>
      <c r="D42" s="89">
        <f>SUM(D4:D37)</f>
        <v>3073.250000000001</v>
      </c>
      <c r="E42" s="89">
        <f>SUM(E4:E37)</f>
        <v>2121.8200000000006</v>
      </c>
      <c r="F42" s="89">
        <f>SUM(F4:F37)</f>
        <v>2259.6200000000003</v>
      </c>
    </row>
    <row r="43" ht="13.5"/>
    <row r="44" spans="1:6" ht="13.5" customHeight="1">
      <c r="A44" s="90" t="s">
        <v>268</v>
      </c>
      <c r="B44" s="90"/>
      <c r="C44" s="91"/>
      <c r="D44" s="91"/>
      <c r="E44" s="91">
        <v>1</v>
      </c>
      <c r="F44" s="91"/>
    </row>
    <row r="45" ht="13.5">
      <c r="A45" t="s">
        <v>269</v>
      </c>
    </row>
    <row r="46" spans="1:10" ht="27">
      <c r="A46" s="92" t="s">
        <v>270</v>
      </c>
      <c r="B46" s="93" t="s">
        <v>271</v>
      </c>
      <c r="C46" s="94" t="s">
        <v>272</v>
      </c>
      <c r="D46" s="94" t="s">
        <v>273</v>
      </c>
      <c r="E46" s="94" t="s">
        <v>274</v>
      </c>
      <c r="F46" s="95" t="s">
        <v>275</v>
      </c>
      <c r="G46" s="94" t="s">
        <v>276</v>
      </c>
      <c r="H46" s="94" t="s">
        <v>277</v>
      </c>
      <c r="I46" s="94" t="s">
        <v>278</v>
      </c>
      <c r="J46" s="94" t="s">
        <v>279</v>
      </c>
    </row>
    <row r="47" spans="2:10" ht="12.75">
      <c r="B47" s="96" t="s">
        <v>280</v>
      </c>
      <c r="C47" s="97" t="s">
        <v>280</v>
      </c>
      <c r="D47" s="97" t="s">
        <v>280</v>
      </c>
      <c r="E47" s="97" t="s">
        <v>281</v>
      </c>
      <c r="F47" s="97" t="s">
        <v>282</v>
      </c>
      <c r="G47" s="97" t="s">
        <v>282</v>
      </c>
      <c r="H47" s="97" t="s">
        <v>280</v>
      </c>
      <c r="I47" s="97" t="s">
        <v>282</v>
      </c>
      <c r="J47" s="97" t="s">
        <v>282</v>
      </c>
    </row>
    <row r="48" spans="2:10" ht="13.5">
      <c r="B48" s="98" t="s">
        <v>283</v>
      </c>
      <c r="C48" s="82" t="s">
        <v>284</v>
      </c>
      <c r="D48" s="82" t="s">
        <v>283</v>
      </c>
      <c r="E48" s="82" t="s">
        <v>285</v>
      </c>
      <c r="F48" s="82" t="s">
        <v>285</v>
      </c>
      <c r="G48" s="82" t="s">
        <v>285</v>
      </c>
      <c r="H48" s="82" t="s">
        <v>283</v>
      </c>
      <c r="I48" s="82" t="s">
        <v>285</v>
      </c>
      <c r="J48" s="82" t="s">
        <v>285</v>
      </c>
    </row>
    <row r="49" spans="2:10" ht="13.5">
      <c r="B49" s="98">
        <v>120</v>
      </c>
      <c r="C49" s="82">
        <v>130</v>
      </c>
      <c r="D49" s="82">
        <v>100</v>
      </c>
      <c r="E49" s="82">
        <v>100</v>
      </c>
      <c r="F49" s="99">
        <v>100</v>
      </c>
      <c r="G49" s="82">
        <v>140</v>
      </c>
      <c r="H49" s="82">
        <v>170</v>
      </c>
      <c r="I49" s="82">
        <v>160</v>
      </c>
      <c r="J49" s="82">
        <v>100</v>
      </c>
    </row>
    <row r="50" spans="1:10" ht="13.5">
      <c r="A50" s="100" t="s">
        <v>286</v>
      </c>
      <c r="B50" s="91">
        <v>5</v>
      </c>
      <c r="C50" s="91"/>
      <c r="D50" s="91">
        <v>10</v>
      </c>
      <c r="E50" s="91"/>
      <c r="F50" s="91"/>
      <c r="G50" s="91"/>
      <c r="H50" s="91"/>
      <c r="I50" s="91"/>
      <c r="J50" s="91"/>
    </row>
    <row r="51" spans="1:10" s="79" customFormat="1" ht="13.5">
      <c r="A51" s="101" t="s">
        <v>287</v>
      </c>
      <c r="B51" s="102">
        <f>B49*B50</f>
        <v>600</v>
      </c>
      <c r="C51" s="102">
        <f>C49*C50</f>
        <v>0</v>
      </c>
      <c r="D51" s="103">
        <f>D49*D50</f>
        <v>1000</v>
      </c>
      <c r="E51" s="103">
        <f>E49*E50</f>
        <v>0</v>
      </c>
      <c r="F51" s="103">
        <f>F49*F50</f>
        <v>0</v>
      </c>
      <c r="G51" s="103">
        <f>G49*G50</f>
        <v>0</v>
      </c>
      <c r="H51" s="103">
        <f>H49*H50</f>
        <v>0</v>
      </c>
      <c r="I51" s="103">
        <f>I49*I50</f>
        <v>0</v>
      </c>
      <c r="J51" s="103">
        <f>J49*J50</f>
        <v>0</v>
      </c>
    </row>
    <row r="52" ht="13.5"/>
    <row r="53" spans="1:10" ht="27">
      <c r="A53" s="92" t="s">
        <v>288</v>
      </c>
      <c r="B53" s="93" t="s">
        <v>271</v>
      </c>
      <c r="C53" s="94" t="s">
        <v>272</v>
      </c>
      <c r="D53" s="94" t="s">
        <v>273</v>
      </c>
      <c r="E53" s="94" t="s">
        <v>274</v>
      </c>
      <c r="F53" s="95" t="s">
        <v>275</v>
      </c>
      <c r="G53" s="94" t="s">
        <v>276</v>
      </c>
      <c r="H53" s="94" t="s">
        <v>277</v>
      </c>
      <c r="I53" s="94" t="s">
        <v>278</v>
      </c>
      <c r="J53" s="94" t="s">
        <v>279</v>
      </c>
    </row>
    <row r="54" spans="2:10" ht="12.75">
      <c r="B54" s="96" t="s">
        <v>280</v>
      </c>
      <c r="C54" s="97" t="s">
        <v>280</v>
      </c>
      <c r="D54" s="97" t="s">
        <v>280</v>
      </c>
      <c r="E54" s="97" t="s">
        <v>282</v>
      </c>
      <c r="F54" s="97" t="s">
        <v>282</v>
      </c>
      <c r="G54" s="97" t="s">
        <v>282</v>
      </c>
      <c r="H54" s="97" t="s">
        <v>280</v>
      </c>
      <c r="I54" s="97" t="s">
        <v>282</v>
      </c>
      <c r="J54" s="97" t="s">
        <v>282</v>
      </c>
    </row>
    <row r="55" spans="2:10" ht="13.5">
      <c r="B55" s="98" t="s">
        <v>283</v>
      </c>
      <c r="C55" s="82" t="s">
        <v>283</v>
      </c>
      <c r="D55" s="82" t="s">
        <v>283</v>
      </c>
      <c r="E55" s="82" t="s">
        <v>285</v>
      </c>
      <c r="F55" s="82" t="s">
        <v>285</v>
      </c>
      <c r="G55" s="82" t="s">
        <v>285</v>
      </c>
      <c r="H55" s="82" t="s">
        <v>283</v>
      </c>
      <c r="I55" s="82" t="s">
        <v>285</v>
      </c>
      <c r="J55" s="82" t="s">
        <v>285</v>
      </c>
    </row>
    <row r="56" spans="2:10" ht="13.5">
      <c r="B56" s="98">
        <v>90</v>
      </c>
      <c r="C56" s="82">
        <v>80</v>
      </c>
      <c r="D56" s="82">
        <v>80</v>
      </c>
      <c r="E56" s="82">
        <v>80</v>
      </c>
      <c r="F56" s="99">
        <v>80</v>
      </c>
      <c r="G56" s="82">
        <v>90</v>
      </c>
      <c r="H56" s="82">
        <v>120</v>
      </c>
      <c r="I56" s="82">
        <v>100</v>
      </c>
      <c r="J56" s="82">
        <v>80</v>
      </c>
    </row>
    <row r="57" spans="1:10" ht="13.5">
      <c r="A57" s="100" t="s">
        <v>286</v>
      </c>
      <c r="B57" s="91"/>
      <c r="C57" s="91"/>
      <c r="D57" s="91"/>
      <c r="E57" s="91"/>
      <c r="F57" s="91"/>
      <c r="G57" s="91">
        <v>1</v>
      </c>
      <c r="H57" s="91"/>
      <c r="I57" s="91"/>
      <c r="J57" s="91"/>
    </row>
    <row r="58" spans="1:10" s="79" customFormat="1" ht="12.75">
      <c r="A58" s="101" t="s">
        <v>287</v>
      </c>
      <c r="B58" s="103">
        <f>B56*B57</f>
        <v>0</v>
      </c>
      <c r="C58" s="103">
        <f>C56*C57</f>
        <v>0</v>
      </c>
      <c r="D58" s="103">
        <f>D56*D57</f>
        <v>0</v>
      </c>
      <c r="E58" s="103">
        <f>E56*E57</f>
        <v>0</v>
      </c>
      <c r="F58" s="103">
        <f>F56*F57</f>
        <v>0</v>
      </c>
      <c r="G58" s="103">
        <f>G56*G57</f>
        <v>90</v>
      </c>
      <c r="H58" s="103">
        <f>H56*H57</f>
        <v>0</v>
      </c>
      <c r="I58" s="103">
        <f>I56*I57</f>
        <v>0</v>
      </c>
      <c r="J58" s="103">
        <f>J56*J57</f>
        <v>0</v>
      </c>
    </row>
    <row r="60" spans="1:7" ht="12.75">
      <c r="A60" t="s">
        <v>289</v>
      </c>
      <c r="C60" s="104">
        <f>SUM(B51:J51)+SUM(B58:J58)</f>
        <v>1690</v>
      </c>
      <c r="D60" t="s">
        <v>290</v>
      </c>
      <c r="E60" t="s">
        <v>291</v>
      </c>
      <c r="F60" s="104">
        <f>C60/40</f>
        <v>42.25</v>
      </c>
      <c r="G60" t="s">
        <v>292</v>
      </c>
    </row>
    <row r="61" spans="1:4" ht="12.75">
      <c r="A61" t="s">
        <v>293</v>
      </c>
      <c r="C61" s="104">
        <f>C42*C44+D42*D44+E42*E44+F42*F44</f>
        <v>2121.8200000000006</v>
      </c>
      <c r="D61" t="s">
        <v>294</v>
      </c>
    </row>
    <row r="62" spans="1:4" ht="12.75">
      <c r="A62" t="s">
        <v>295</v>
      </c>
      <c r="C62" s="104">
        <f>IF(C60&gt;C61,C60-C61,0)</f>
        <v>0</v>
      </c>
      <c r="D62" t="s">
        <v>294</v>
      </c>
    </row>
    <row r="63" spans="1:4" ht="12.75">
      <c r="A63" t="s">
        <v>296</v>
      </c>
      <c r="C63" s="104">
        <f>IF(C60&lt;C61,C61-C60,0)</f>
        <v>431.8200000000006</v>
      </c>
      <c r="D63" t="s">
        <v>294</v>
      </c>
    </row>
  </sheetData>
  <sheetProtection selectLockedCells="1" selectUnlockedCells="1"/>
  <mergeCells count="9">
    <mergeCell ref="A1:A3"/>
    <mergeCell ref="B1:B3"/>
    <mergeCell ref="C1:D1"/>
    <mergeCell ref="E1:F1"/>
    <mergeCell ref="A39:A41"/>
    <mergeCell ref="B39:B41"/>
    <mergeCell ref="C39:D39"/>
    <mergeCell ref="E39:F39"/>
    <mergeCell ref="A44:B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Simota Catalin</cp:lastModifiedBy>
  <dcterms:created xsi:type="dcterms:W3CDTF">2014-11-26T09:51:51Z</dcterms:created>
  <dcterms:modified xsi:type="dcterms:W3CDTF">2017-04-12T07:31:08Z</dcterms:modified>
  <cp:category/>
  <cp:version/>
  <cp:contentType/>
  <cp:contentStatus/>
</cp:coreProperties>
</file>